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y+2yezMeorKmGB3ekjLdww6oXBevxjbG64YG0RzQCv4+krZRdlGqGeWW0+Of2zhLCMbM+RUtoyyhGK/1TImVsA==" workbookSaltValue="+RmH7e/6cdUDBY5jURqBLQ==" workbookSpinCount="100000" lockStructure="1"/>
  <bookViews>
    <workbookView xWindow="0" yWindow="0" windowWidth="20460" windowHeight="7650"/>
  </bookViews>
  <sheets>
    <sheet name="Introduction" sheetId="1" r:id="rId1"/>
    <sheet name="Meridional Difference" sheetId="2" r:id="rId2"/>
    <sheet name="Mercator Mile" sheetId="5" r:id="rId3"/>
    <sheet name="Calculations" sheetId="4" state="hidden" r:id="rId4"/>
    <sheet name="Calculations (2)" sheetId="6" state="hidden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I22" i="6"/>
  <c r="H22" i="6"/>
  <c r="E22" i="6"/>
  <c r="D22" i="6"/>
  <c r="C22" i="6"/>
  <c r="J8" i="6"/>
  <c r="I8" i="6"/>
  <c r="H8" i="6"/>
  <c r="E8" i="6"/>
  <c r="D8" i="6"/>
  <c r="C8" i="6"/>
  <c r="L25" i="6"/>
  <c r="G25" i="6"/>
  <c r="L11" i="6"/>
  <c r="L17" i="6" s="1"/>
  <c r="G11" i="6"/>
  <c r="G17" i="6" s="1"/>
  <c r="M21" i="5"/>
  <c r="L22" i="5" s="1"/>
  <c r="J21" i="5"/>
  <c r="I22" i="5" s="1"/>
  <c r="I14" i="5"/>
  <c r="M13" i="5"/>
  <c r="L14" i="5" s="1"/>
  <c r="J13" i="5"/>
  <c r="K22" i="6" l="1"/>
  <c r="L22" i="6" s="1"/>
  <c r="L23" i="6" s="1"/>
  <c r="L24" i="6" s="1"/>
  <c r="L30" i="6" s="1"/>
  <c r="F22" i="6"/>
  <c r="G22" i="6" s="1"/>
  <c r="G26" i="6" s="1"/>
  <c r="G27" i="6" s="1"/>
  <c r="G28" i="6" s="1"/>
  <c r="K8" i="6"/>
  <c r="F8" i="6"/>
  <c r="L31" i="6"/>
  <c r="G31" i="6"/>
  <c r="L8" i="6" l="1"/>
  <c r="L9" i="6" s="1"/>
  <c r="L10" i="6" s="1"/>
  <c r="L16" i="6" s="1"/>
  <c r="G8" i="6"/>
  <c r="G9" i="6" s="1"/>
  <c r="G10" i="6" s="1"/>
  <c r="L26" i="6"/>
  <c r="L27" i="6" s="1"/>
  <c r="L28" i="6" s="1"/>
  <c r="G23" i="6"/>
  <c r="G24" i="6" s="1"/>
  <c r="G29" i="6" s="1"/>
  <c r="L12" i="6"/>
  <c r="L13" i="6" s="1"/>
  <c r="L14" i="6" s="1"/>
  <c r="L29" i="6"/>
  <c r="L32" i="6" l="1"/>
  <c r="L15" i="6"/>
  <c r="L18" i="6" s="1"/>
  <c r="G12" i="6"/>
  <c r="G13" i="6" s="1"/>
  <c r="G14" i="6" s="1"/>
  <c r="G16" i="6"/>
  <c r="G15" i="6"/>
  <c r="G30" i="6"/>
  <c r="G32" i="6" s="1"/>
  <c r="G18" i="6" l="1"/>
  <c r="I15" i="5" s="1"/>
  <c r="I28" i="5" s="1"/>
  <c r="L36" i="6"/>
  <c r="L23" i="5"/>
  <c r="L29" i="5" s="1"/>
  <c r="L35" i="6"/>
  <c r="L15" i="5"/>
  <c r="L28" i="5" s="1"/>
  <c r="G36" i="6"/>
  <c r="I23" i="5"/>
  <c r="I29" i="5" s="1"/>
  <c r="L37" i="6" l="1"/>
  <c r="L38" i="6" s="1"/>
  <c r="L30" i="5" s="1"/>
  <c r="G35" i="6"/>
  <c r="G37" i="6"/>
  <c r="G38" i="6" s="1"/>
  <c r="I30" i="5" s="1"/>
  <c r="L11" i="4" l="1"/>
  <c r="J22" i="4" l="1"/>
  <c r="I22" i="4"/>
  <c r="H22" i="4"/>
  <c r="E22" i="4"/>
  <c r="D22" i="4"/>
  <c r="C22" i="4"/>
  <c r="N21" i="2"/>
  <c r="M22" i="2" s="1"/>
  <c r="L25" i="4" s="1"/>
  <c r="J21" i="2"/>
  <c r="I22" i="2" s="1"/>
  <c r="G25" i="4" s="1"/>
  <c r="F22" i="4" l="1"/>
  <c r="G31" i="4"/>
  <c r="L31" i="4"/>
  <c r="J8" i="4"/>
  <c r="I8" i="4"/>
  <c r="H8" i="4"/>
  <c r="N13" i="2"/>
  <c r="M14" i="2" s="1"/>
  <c r="G22" i="4" l="1"/>
  <c r="G26" i="4" s="1"/>
  <c r="G27" i="4" s="1"/>
  <c r="G28" i="4" s="1"/>
  <c r="K8" i="4"/>
  <c r="L8" i="4" s="1"/>
  <c r="L17" i="4"/>
  <c r="J13" i="2"/>
  <c r="I14" i="2" s="1"/>
  <c r="G23" i="4" l="1"/>
  <c r="G24" i="4" s="1"/>
  <c r="G29" i="4" s="1"/>
  <c r="L12" i="4"/>
  <c r="L13" i="4" s="1"/>
  <c r="L14" i="4" s="1"/>
  <c r="L9" i="4"/>
  <c r="L10" i="4" s="1"/>
  <c r="L15" i="4" s="1"/>
  <c r="E8" i="4"/>
  <c r="D8" i="4"/>
  <c r="C8" i="4"/>
  <c r="G11" i="4"/>
  <c r="G17" i="4" s="1"/>
  <c r="G30" i="4" l="1"/>
  <c r="G32" i="4" s="1"/>
  <c r="L16" i="4"/>
  <c r="L18" i="4" s="1"/>
  <c r="F8" i="4"/>
  <c r="M15" i="2" l="1"/>
  <c r="M28" i="2" s="1"/>
  <c r="L35" i="4"/>
  <c r="G8" i="4"/>
  <c r="G9" i="4" s="1"/>
  <c r="G10" i="4" s="1"/>
  <c r="I23" i="2"/>
  <c r="I29" i="2" s="1"/>
  <c r="G36" i="4"/>
  <c r="G12" i="4" l="1"/>
  <c r="G13" i="4" s="1"/>
  <c r="G14" i="4" s="1"/>
  <c r="G15" i="4"/>
  <c r="G16" i="4"/>
  <c r="G18" i="4" l="1"/>
  <c r="K22" i="4"/>
  <c r="L22" i="4" s="1"/>
  <c r="I15" i="2" l="1"/>
  <c r="I28" i="2" s="1"/>
  <c r="G35" i="4"/>
  <c r="L23" i="4"/>
  <c r="L24" i="4" s="1"/>
  <c r="L26" i="4"/>
  <c r="L27" i="4" s="1"/>
  <c r="L28" i="4" s="1"/>
  <c r="G37" i="4" l="1"/>
  <c r="L29" i="4"/>
  <c r="L30" i="4"/>
  <c r="G38" i="4" l="1"/>
  <c r="L32" i="4"/>
  <c r="I30" i="2" l="1"/>
  <c r="M23" i="2"/>
  <c r="M29" i="2" s="1"/>
  <c r="L36" i="4"/>
  <c r="L37" i="4" s="1"/>
  <c r="L38" i="4" s="1"/>
  <c r="M30" i="2" l="1"/>
</calcChain>
</file>

<file path=xl/comments1.xml><?xml version="1.0" encoding="utf-8"?>
<comments xmlns="http://schemas.openxmlformats.org/spreadsheetml/2006/main">
  <authors>
    <author>Sorin Stamate</author>
  </authors>
  <commentList>
    <comment ref="J2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3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  <comment ref="D5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240.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H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Flattening is selected according to the chosen ellipsoid.
Or calculated separately depending on the elements of the ellipsoid used.</t>
        </r>
      </text>
    </comment>
    <comment ref="F1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  <comment ref="H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Flattening is selected according to the chosen ellipsoid.
Or calculated separately depending on the elements of the ellipsoid used.</t>
        </r>
      </text>
    </comment>
    <comment ref="F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  <comment ref="H2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240.</t>
        </r>
      </text>
    </comment>
  </commentList>
</comments>
</file>

<file path=xl/comments3.xml><?xml version="1.0" encoding="utf-8"?>
<comments xmlns="http://schemas.openxmlformats.org/spreadsheetml/2006/main">
  <authors>
    <author>Sorin Stamate</author>
  </authors>
  <commentList>
    <comment ref="H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Flattening is selected according to the chosen ellipsoid.
Or calculated separately depending on the elements of the ellipsoid used.</t>
        </r>
      </text>
    </comment>
    <comment ref="F1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  <comment ref="H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Flattening is selected according to the chosen ellipsoid.
Or calculated separately depending on the elements of the ellipsoid used.</t>
        </r>
      </text>
    </comment>
    <comment ref="F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  <comment ref="H2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240.</t>
        </r>
      </text>
    </comment>
  </commentList>
</comments>
</file>

<file path=xl/sharedStrings.xml><?xml version="1.0" encoding="utf-8"?>
<sst xmlns="http://schemas.openxmlformats.org/spreadsheetml/2006/main" count="370" uniqueCount="117">
  <si>
    <t>Flag Gaff</t>
  </si>
  <si>
    <t>Maritime Navigation using Excel</t>
  </si>
  <si>
    <t>ϕc</t>
  </si>
  <si>
    <t>=</t>
  </si>
  <si>
    <t>( e )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</si>
  <si>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</si>
  <si>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(To be filled only in YELLOW cells)</t>
  </si>
  <si>
    <t>Formula Terms</t>
  </si>
  <si>
    <t>Symbol</t>
  </si>
  <si>
    <t>Unit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</si>
  <si>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</si>
  <si>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 ]</t>
  </si>
  <si>
    <t>[ '' ]</t>
  </si>
  <si>
    <r>
      <t>(</t>
    </r>
    <r>
      <rPr>
        <b/>
        <sz val="11"/>
        <color theme="1"/>
        <rFont val="Calibri"/>
        <family val="2"/>
        <charset val="238"/>
      </rPr>
      <t>ϕ)</t>
    </r>
  </si>
  <si>
    <t>Example 1</t>
  </si>
  <si>
    <t>Degrees</t>
  </si>
  <si>
    <t>Minutes</t>
  </si>
  <si>
    <t>Sum</t>
  </si>
  <si>
    <t>ϕ</t>
  </si>
  <si>
    <t>Radians</t>
  </si>
  <si>
    <t>Seconds</t>
  </si>
  <si>
    <t>tan</t>
  </si>
  <si>
    <t>Flattening</t>
  </si>
  <si>
    <t>Eccentricity</t>
  </si>
  <si>
    <t>(f)</t>
  </si>
  <si>
    <t>sin ϕ</t>
  </si>
  <si>
    <t xml:space="preserve">e </t>
  </si>
  <si>
    <r>
      <t>(45+</t>
    </r>
    <r>
      <rPr>
        <b/>
        <sz val="11"/>
        <color theme="1"/>
        <rFont val="Calibri"/>
        <family val="2"/>
        <charset val="238"/>
      </rPr>
      <t>ϕ/2)</t>
    </r>
  </si>
  <si>
    <t>(e/2)</t>
  </si>
  <si>
    <t>Calculations:</t>
  </si>
  <si>
    <t>Calculations</t>
  </si>
  <si>
    <r>
      <t>(1-(e*sin</t>
    </r>
    <r>
      <rPr>
        <b/>
        <sz val="11"/>
        <color theme="1"/>
        <rFont val="Calibri"/>
        <family val="2"/>
        <charset val="238"/>
      </rPr>
      <t>ϕ))</t>
    </r>
  </si>
  <si>
    <t>(1+(e*sinϕ))</t>
  </si>
  <si>
    <t>Latitude</t>
  </si>
  <si>
    <t>Example 2</t>
  </si>
  <si>
    <t>e</t>
  </si>
  <si>
    <t>f</t>
  </si>
  <si>
    <t>1/297</t>
  </si>
  <si>
    <t>1/298.3</t>
  </si>
  <si>
    <t>1/293.465</t>
  </si>
  <si>
    <t>1/298.257223563</t>
  </si>
  <si>
    <r>
      <t xml:space="preserve">e = </t>
    </r>
    <r>
      <rPr>
        <b/>
        <sz val="11"/>
        <color theme="1"/>
        <rFont val="Calibri"/>
        <family val="2"/>
        <charset val="238"/>
      </rPr>
      <t>√‾(2f - f²)</t>
    </r>
  </si>
  <si>
    <t>1. Introduction:</t>
  </si>
  <si>
    <t>2. Meridional Parts:</t>
  </si>
  <si>
    <t>so that the condition of compliance is met.</t>
  </si>
  <si>
    <t>The problem of accurate determining of the distance from the Equator to a parallel of any latitude,</t>
  </si>
  <si>
    <t>Meridional Parts:</t>
  </si>
  <si>
    <r>
      <t>(</t>
    </r>
    <r>
      <rPr>
        <b/>
        <sz val="11"/>
        <color theme="1"/>
        <rFont val="Calibri"/>
        <family val="2"/>
        <charset val="238"/>
      </rPr>
      <t>ϕc)</t>
    </r>
  </si>
  <si>
    <t>where:</t>
  </si>
  <si>
    <t>meridional parts;</t>
  </si>
  <si>
    <t>given latitude;</t>
  </si>
  <si>
    <t>The meridional parts is expressed in:</t>
  </si>
  <si>
    <t>[Em]</t>
  </si>
  <si>
    <t>Equatorial miles:</t>
  </si>
  <si>
    <t>That is, in minutes of the Equator.</t>
  </si>
  <si>
    <t>To obtain the meridional parts in equatorial miles we have the formula:</t>
  </si>
  <si>
    <r>
      <t>(7915'.70447) * log tan * (45</t>
    </r>
    <r>
      <rPr>
        <b/>
        <sz val="11"/>
        <color theme="1"/>
        <rFont val="Calibri"/>
        <family val="2"/>
        <charset val="238"/>
      </rPr>
      <t>° + ϕ/2) * [(1 - e * sin ϕ) / (1 + e * sin ϕ)]</t>
    </r>
  </si>
  <si>
    <t>√‾(2f - f²)</t>
  </si>
  <si>
    <t>For example for the Ellipsoid:</t>
  </si>
  <si>
    <t>International:</t>
  </si>
  <si>
    <t>Clarke:</t>
  </si>
  <si>
    <t>WGS-84:</t>
  </si>
  <si>
    <t>Krassovsky:</t>
  </si>
  <si>
    <t>ϕc=(7915'.70447)*log [tan*(45°+ϕ/2)*((1-e*sinϕ)/(1+e*sinϕ))]</t>
  </si>
  <si>
    <t>Meridional Parts</t>
  </si>
  <si>
    <t>[m]</t>
  </si>
  <si>
    <t>1 Em =</t>
  </si>
  <si>
    <t>(for International Ellipsoid)</t>
  </si>
  <si>
    <r>
      <t xml:space="preserve">Represents the distance from the Equator to the parallel of latitude </t>
    </r>
    <r>
      <rPr>
        <sz val="11"/>
        <color theme="1"/>
        <rFont val="Calibri"/>
        <family val="2"/>
        <charset val="238"/>
      </rPr>
      <t>ϕ</t>
    </r>
    <r>
      <rPr>
        <sz val="11"/>
        <color theme="1"/>
        <rFont val="Calibri"/>
        <family val="2"/>
        <charset val="238"/>
        <scheme val="minor"/>
      </rPr>
      <t>, in the Mercator projection.</t>
    </r>
  </si>
  <si>
    <t>or any other.</t>
  </si>
  <si>
    <t>Formula</t>
  </si>
  <si>
    <t>or</t>
  </si>
  <si>
    <t>(M)</t>
  </si>
  <si>
    <t>(ϕc) or (M)</t>
  </si>
  <si>
    <t>ϕc or M</t>
  </si>
  <si>
    <t>(Mm)</t>
  </si>
  <si>
    <t>Δϕc</t>
  </si>
  <si>
    <t>The difference between the meridional parts of any two given parallels.</t>
  </si>
  <si>
    <t>The fundamental theoretical problem of the Mercator projection is:</t>
  </si>
  <si>
    <t>eccentricity of the terrestrial ellipsoid:</t>
  </si>
  <si>
    <t xml:space="preserve">where: </t>
  </si>
  <si>
    <r>
      <t xml:space="preserve">Flattening </t>
    </r>
    <r>
      <rPr>
        <b/>
        <sz val="11"/>
        <color theme="1"/>
        <rFont val="Calibri"/>
        <family val="2"/>
        <charset val="238"/>
        <scheme val="minor"/>
      </rPr>
      <t>(f)</t>
    </r>
    <r>
      <rPr>
        <sz val="11"/>
        <color theme="1"/>
        <rFont val="Calibri"/>
        <family val="2"/>
        <charset val="238"/>
        <scheme val="minor"/>
      </rPr>
      <t xml:space="preserve"> depends on the elements of the ellipsoid chosen for the calculations, as follows:</t>
    </r>
  </si>
  <si>
    <t>3. Difference of Meridional Parts:</t>
  </si>
  <si>
    <r>
      <t>(</t>
    </r>
    <r>
      <rPr>
        <b/>
        <sz val="11"/>
        <color theme="1"/>
        <rFont val="Calibri"/>
        <family val="2"/>
        <charset val="238"/>
      </rPr>
      <t>Δϕc)</t>
    </r>
  </si>
  <si>
    <t>Difference of Meridional Parts or Meridional Difference:</t>
  </si>
  <si>
    <t>Determine the meridional parts corresponding to the two parallels and make the difference between them.</t>
  </si>
  <si>
    <t>Mercator mile:</t>
  </si>
  <si>
    <t>and is used to determine the latitude of a point</t>
  </si>
  <si>
    <t>and to measure distances on the map.</t>
  </si>
  <si>
    <t>It represents the value of a minute of a meridian at any latitude</t>
  </si>
  <si>
    <t>Difference of Meridional Parts:</t>
  </si>
  <si>
    <t>Meridional Difference</t>
  </si>
  <si>
    <t>1st Meridional Parts</t>
  </si>
  <si>
    <t>2nd Meridional Parts</t>
  </si>
  <si>
    <t>Example 3</t>
  </si>
  <si>
    <t>Example 4</t>
  </si>
  <si>
    <t>Example</t>
  </si>
  <si>
    <t>Δϕc = ϕc₂ - ϕc₁</t>
  </si>
  <si>
    <r>
      <t>(</t>
    </r>
    <r>
      <rPr>
        <b/>
        <sz val="11"/>
        <color theme="1"/>
        <rFont val="Calibri"/>
        <family val="2"/>
        <charset val="238"/>
      </rPr>
      <t>ϕc₂)</t>
    </r>
  </si>
  <si>
    <r>
      <t>(</t>
    </r>
    <r>
      <rPr>
        <b/>
        <sz val="11"/>
        <color theme="1"/>
        <rFont val="Calibri"/>
        <family val="2"/>
        <charset val="238"/>
      </rPr>
      <t>ϕc₁)</t>
    </r>
  </si>
  <si>
    <t>(Δϕc)</t>
  </si>
  <si>
    <t>Hemisphere</t>
  </si>
  <si>
    <t>N</t>
  </si>
  <si>
    <t>S</t>
  </si>
  <si>
    <t>ϕc₁</t>
  </si>
  <si>
    <t>ϕc₂</t>
  </si>
  <si>
    <t>(ϕc₂  -  ϕc₁)</t>
  </si>
  <si>
    <t>ABS(Δϕc)</t>
  </si>
  <si>
    <t>Mercator Mile:</t>
  </si>
  <si>
    <t>Δϕc  =  ϕc₂  -  ϕc₁</t>
  </si>
  <si>
    <t>The distance measured on the meridian between two parallels of a Mercator projection.</t>
  </si>
  <si>
    <t>It is the difference of meridional parts corresponding to one minute of difference of latitude.</t>
  </si>
  <si>
    <t>It does not have a constant value and increases with latitude.</t>
  </si>
  <si>
    <t>This difference is found by subtraction if the two parallels are on the same side of the equator and by addition if on opposite hemispheres.</t>
  </si>
  <si>
    <t>To find out the meridional difference:</t>
  </si>
  <si>
    <t>ϕc₂  -  ϕc₁</t>
  </si>
  <si>
    <t>DIFFERENCE OF MERIDIONAL PARTS or MERIDIONAL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</si>
</sst>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000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72" applyNumberFormat="0" applyFill="0" applyAlignment="0" applyProtection="0"/>
    <xf numFmtId="0" fontId="17" fillId="0" borderId="84" applyNumberFormat="0" applyFill="0" applyAlignment="0" applyProtection="0"/>
  </cellStyleXfs>
  <cellXfs count="164">
    <xf numFmtId="0" fontId="0" fillId="0" borderId="0" xfId="0"/>
    <xf numFmtId="0" fontId="5" fillId="0" borderId="0" xfId="1" applyFont="1"/>
    <xf numFmtId="0" fontId="6" fillId="0" borderId="0" xfId="0" applyFont="1"/>
    <xf numFmtId="0" fontId="2" fillId="0" borderId="1" xfId="2"/>
    <xf numFmtId="0" fontId="2" fillId="0" borderId="0" xfId="2" applyBorder="1"/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25" xfId="0" applyBorder="1"/>
    <xf numFmtId="164" fontId="0" fillId="0" borderId="26" xfId="0" applyNumberFormat="1" applyBorder="1"/>
    <xf numFmtId="164" fontId="0" fillId="0" borderId="31" xfId="0" applyNumberFormat="1" applyBorder="1"/>
    <xf numFmtId="0" fontId="0" fillId="0" borderId="28" xfId="0" applyBorder="1"/>
    <xf numFmtId="165" fontId="0" fillId="0" borderId="50" xfId="0" applyNumberFormat="1" applyBorder="1"/>
    <xf numFmtId="165" fontId="0" fillId="0" borderId="12" xfId="0" applyNumberFormat="1" applyBorder="1"/>
    <xf numFmtId="2" fontId="0" fillId="0" borderId="49" xfId="0" applyNumberFormat="1" applyBorder="1"/>
    <xf numFmtId="166" fontId="0" fillId="0" borderId="29" xfId="0" applyNumberFormat="1" applyBorder="1"/>
    <xf numFmtId="0" fontId="14" fillId="0" borderId="9" xfId="0" applyFont="1" applyBorder="1" applyAlignment="1">
      <alignment horizontal="center"/>
    </xf>
    <xf numFmtId="165" fontId="0" fillId="0" borderId="24" xfId="0" applyNumberFormat="1" applyBorder="1"/>
    <xf numFmtId="165" fontId="0" fillId="0" borderId="29" xfId="0" applyNumberFormat="1" applyBorder="1"/>
    <xf numFmtId="0" fontId="9" fillId="4" borderId="44" xfId="0" applyFont="1" applyFill="1" applyBorder="1" applyAlignment="1">
      <alignment horizontal="center"/>
    </xf>
    <xf numFmtId="0" fontId="0" fillId="4" borderId="45" xfId="0" applyFill="1" applyBorder="1"/>
    <xf numFmtId="0" fontId="0" fillId="4" borderId="46" xfId="0" applyFill="1" applyBorder="1"/>
    <xf numFmtId="2" fontId="0" fillId="4" borderId="47" xfId="0" applyNumberFormat="1" applyFill="1" applyBorder="1"/>
    <xf numFmtId="0" fontId="0" fillId="0" borderId="29" xfId="0" applyNumberFormat="1" applyBorder="1"/>
    <xf numFmtId="0" fontId="4" fillId="2" borderId="44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49" fontId="9" fillId="2" borderId="51" xfId="0" applyNumberFormat="1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2" fontId="0" fillId="0" borderId="31" xfId="0" applyNumberFormat="1" applyBorder="1"/>
    <xf numFmtId="0" fontId="0" fillId="0" borderId="26" xfId="0" applyBorder="1"/>
    <xf numFmtId="2" fontId="0" fillId="0" borderId="26" xfId="0" applyNumberFormat="1" applyBorder="1"/>
    <xf numFmtId="2" fontId="0" fillId="0" borderId="54" xfId="0" applyNumberFormat="1" applyBorder="1"/>
    <xf numFmtId="2" fontId="0" fillId="4" borderId="46" xfId="0" applyNumberFormat="1" applyFill="1" applyBorder="1"/>
    <xf numFmtId="2" fontId="0" fillId="0" borderId="24" xfId="0" applyNumberFormat="1" applyBorder="1"/>
    <xf numFmtId="2" fontId="0" fillId="0" borderId="29" xfId="0" applyNumberFormat="1" applyBorder="1"/>
    <xf numFmtId="2" fontId="0" fillId="0" borderId="55" xfId="0" applyNumberFormat="1" applyBorder="1"/>
    <xf numFmtId="0" fontId="14" fillId="0" borderId="9" xfId="0" applyFont="1" applyBorder="1" applyAlignment="1">
      <alignment horizontal="center"/>
    </xf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14" fillId="0" borderId="0" xfId="0" applyFont="1" applyProtection="1">
      <protection hidden="1"/>
    </xf>
    <xf numFmtId="0" fontId="15" fillId="0" borderId="0" xfId="4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5" fillId="0" borderId="72" xfId="5" applyProtection="1">
      <protection hidden="1"/>
    </xf>
    <xf numFmtId="0" fontId="4" fillId="0" borderId="0" xfId="0" applyFont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0" fontId="9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17" fillId="0" borderId="84" xfId="6" applyProtection="1">
      <protection hidden="1"/>
    </xf>
    <xf numFmtId="0" fontId="17" fillId="0" borderId="0" xfId="6" applyBorder="1" applyProtection="1"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14" fillId="0" borderId="68" xfId="0" applyFont="1" applyBorder="1" applyAlignment="1" applyProtection="1">
      <alignment horizontal="center"/>
      <protection hidden="1"/>
    </xf>
    <xf numFmtId="0" fontId="14" fillId="0" borderId="68" xfId="0" applyFont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40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right" vertical="center"/>
      <protection hidden="1"/>
    </xf>
    <xf numFmtId="0" fontId="4" fillId="3" borderId="64" xfId="0" applyFont="1" applyFill="1" applyBorder="1" applyAlignment="1" applyProtection="1">
      <alignment horizontal="center" vertical="center"/>
      <protection hidden="1"/>
    </xf>
    <xf numFmtId="0" fontId="4" fillId="3" borderId="65" xfId="0" applyFont="1" applyFill="1" applyBorder="1" applyAlignment="1" applyProtection="1">
      <alignment horizontal="center" vertical="center"/>
      <protection hidden="1"/>
    </xf>
    <xf numFmtId="0" fontId="4" fillId="3" borderId="77" xfId="0" applyFont="1" applyFill="1" applyBorder="1" applyAlignment="1" applyProtection="1">
      <alignment horizontal="center" vertical="center"/>
      <protection hidden="1"/>
    </xf>
    <xf numFmtId="0" fontId="16" fillId="3" borderId="66" xfId="0" applyFont="1" applyFill="1" applyBorder="1" applyAlignment="1" applyProtection="1">
      <alignment horizontal="center" vertical="center" textRotation="90" shrinkToFit="1"/>
      <protection hidden="1"/>
    </xf>
    <xf numFmtId="0" fontId="16" fillId="3" borderId="78" xfId="0" applyFont="1" applyFill="1" applyBorder="1" applyAlignment="1" applyProtection="1">
      <alignment horizontal="center" vertical="center" textRotation="90" shrinkToFit="1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4" fillId="3" borderId="67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25" xfId="0" applyFont="1" applyFill="1" applyBorder="1" applyAlignment="1" applyProtection="1">
      <alignment horizontal="center" vertical="center"/>
      <protection hidden="1"/>
    </xf>
    <xf numFmtId="0" fontId="16" fillId="3" borderId="75" xfId="0" applyFont="1" applyFill="1" applyBorder="1" applyAlignment="1" applyProtection="1">
      <alignment horizontal="center" vertical="center" textRotation="90" shrinkToFit="1"/>
      <protection hidden="1"/>
    </xf>
    <xf numFmtId="0" fontId="16" fillId="3" borderId="79" xfId="0" applyFont="1" applyFill="1" applyBorder="1" applyAlignment="1" applyProtection="1">
      <alignment horizontal="center" vertical="center" textRotation="90" shrinkToFit="1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39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0" fontId="4" fillId="3" borderId="39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 vertical="center"/>
      <protection hidden="1"/>
    </xf>
    <xf numFmtId="0" fontId="4" fillId="3" borderId="62" xfId="0" applyFont="1" applyFill="1" applyBorder="1" applyAlignment="1" applyProtection="1">
      <alignment horizontal="center" vertical="center"/>
      <protection hidden="1"/>
    </xf>
    <xf numFmtId="0" fontId="16" fillId="3" borderId="76" xfId="0" applyFont="1" applyFill="1" applyBorder="1" applyAlignment="1" applyProtection="1">
      <alignment horizontal="center" vertical="center" textRotation="90" shrinkToFit="1"/>
      <protection hidden="1"/>
    </xf>
    <xf numFmtId="0" fontId="16" fillId="3" borderId="80" xfId="0" applyFont="1" applyFill="1" applyBorder="1" applyAlignment="1" applyProtection="1">
      <alignment horizontal="center" vertical="center" textRotation="90" shrinkToFit="1"/>
      <protection hidden="1"/>
    </xf>
    <xf numFmtId="0" fontId="0" fillId="0" borderId="23" xfId="0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4" fillId="3" borderId="56" xfId="0" applyFont="1" applyFill="1" applyBorder="1" applyAlignment="1" applyProtection="1">
      <alignment horizontal="center"/>
      <protection hidden="1"/>
    </xf>
    <xf numFmtId="0" fontId="4" fillId="3" borderId="49" xfId="0" applyFont="1" applyFill="1" applyBorder="1" applyAlignment="1" applyProtection="1">
      <alignment horizontal="center"/>
      <protection hidden="1"/>
    </xf>
    <xf numFmtId="0" fontId="4" fillId="3" borderId="40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1" fontId="0" fillId="5" borderId="57" xfId="0" applyNumberFormat="1" applyFont="1" applyFill="1" applyBorder="1" applyAlignment="1" applyProtection="1">
      <alignment horizontal="right"/>
      <protection hidden="1"/>
    </xf>
    <xf numFmtId="1" fontId="0" fillId="5" borderId="26" xfId="0" applyNumberFormat="1" applyFont="1" applyFill="1" applyBorder="1" applyAlignment="1" applyProtection="1">
      <alignment horizontal="right"/>
      <protection hidden="1"/>
    </xf>
    <xf numFmtId="1" fontId="0" fillId="5" borderId="17" xfId="0" applyNumberFormat="1" applyFont="1" applyFill="1" applyBorder="1" applyAlignment="1" applyProtection="1">
      <alignment horizontal="right"/>
      <protection hidden="1"/>
    </xf>
    <xf numFmtId="1" fontId="0" fillId="5" borderId="58" xfId="0" applyNumberFormat="1" applyFont="1" applyFill="1" applyBorder="1" applyAlignment="1" applyProtection="1">
      <alignment horizontal="right"/>
      <protection hidden="1"/>
    </xf>
    <xf numFmtId="0" fontId="0" fillId="0" borderId="42" xfId="0" applyBorder="1" applyAlignment="1" applyProtection="1">
      <protection hidden="1"/>
    </xf>
    <xf numFmtId="0" fontId="0" fillId="0" borderId="41" xfId="0" applyBorder="1" applyAlignment="1" applyProtection="1">
      <protection hidden="1"/>
    </xf>
    <xf numFmtId="0" fontId="0" fillId="0" borderId="43" xfId="0" applyBorder="1" applyAlignment="1" applyProtection="1">
      <protection hidden="1"/>
    </xf>
    <xf numFmtId="0" fontId="4" fillId="3" borderId="42" xfId="0" applyFont="1" applyFill="1" applyBorder="1" applyAlignment="1" applyProtection="1">
      <alignment horizontal="center"/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0" fontId="4" fillId="3" borderId="32" xfId="0" applyFont="1" applyFill="1" applyBorder="1" applyAlignment="1" applyProtection="1">
      <alignment horizontal="center"/>
      <protection hidden="1"/>
    </xf>
    <xf numFmtId="165" fontId="0" fillId="5" borderId="59" xfId="0" applyNumberFormat="1" applyFont="1" applyFill="1" applyBorder="1" applyAlignment="1" applyProtection="1">
      <alignment horizontal="center"/>
      <protection hidden="1"/>
    </xf>
    <xf numFmtId="166" fontId="0" fillId="0" borderId="32" xfId="0" applyNumberFormat="1" applyFont="1" applyFill="1" applyBorder="1" applyAlignment="1" applyProtection="1">
      <alignment horizontal="center"/>
      <protection hidden="1"/>
    </xf>
    <xf numFmtId="166" fontId="0" fillId="0" borderId="41" xfId="0" applyNumberFormat="1" applyFont="1" applyFill="1" applyBorder="1" applyAlignment="1" applyProtection="1">
      <alignment horizontal="center"/>
      <protection hidden="1"/>
    </xf>
    <xf numFmtId="166" fontId="0" fillId="0" borderId="60" xfId="0" applyNumberFormat="1" applyFont="1" applyFill="1" applyBorder="1" applyAlignment="1" applyProtection="1">
      <alignment horizontal="center"/>
      <protection hidden="1"/>
    </xf>
    <xf numFmtId="0" fontId="0" fillId="0" borderId="38" xfId="0" applyBorder="1" applyAlignment="1" applyProtection="1">
      <protection hidden="1"/>
    </xf>
    <xf numFmtId="0" fontId="0" fillId="0" borderId="39" xfId="0" applyBorder="1" applyAlignment="1" applyProtection="1">
      <protection hidden="1"/>
    </xf>
    <xf numFmtId="0" fontId="0" fillId="0" borderId="69" xfId="0" applyBorder="1" applyAlignment="1" applyProtection="1"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/>
      <protection hidden="1"/>
    </xf>
    <xf numFmtId="166" fontId="0" fillId="0" borderId="70" xfId="0" applyNumberFormat="1" applyFont="1" applyFill="1" applyBorder="1" applyAlignment="1" applyProtection="1">
      <alignment horizontal="center"/>
      <protection hidden="1"/>
    </xf>
    <xf numFmtId="166" fontId="0" fillId="0" borderId="39" xfId="0" applyNumberFormat="1" applyFont="1" applyFill="1" applyBorder="1" applyAlignment="1" applyProtection="1">
      <alignment horizontal="center"/>
      <protection hidden="1"/>
    </xf>
    <xf numFmtId="166" fontId="0" fillId="0" borderId="71" xfId="0" applyNumberFormat="1" applyFont="1" applyFill="1" applyBorder="1" applyAlignment="1" applyProtection="1">
      <alignment horizontal="center"/>
      <protection hidden="1"/>
    </xf>
    <xf numFmtId="0" fontId="4" fillId="4" borderId="33" xfId="0" applyFont="1" applyFill="1" applyBorder="1" applyAlignment="1" applyProtection="1">
      <alignment horizontal="left"/>
      <protection hidden="1"/>
    </xf>
    <xf numFmtId="0" fontId="4" fillId="4" borderId="9" xfId="0" applyFont="1" applyFill="1" applyBorder="1" applyAlignment="1" applyProtection="1">
      <alignment horizontal="left"/>
      <protection hidden="1"/>
    </xf>
    <xf numFmtId="0" fontId="4" fillId="4" borderId="34" xfId="0" applyFont="1" applyFill="1" applyBorder="1" applyAlignment="1" applyProtection="1">
      <alignment horizontal="left"/>
      <protection hidden="1"/>
    </xf>
    <xf numFmtId="0" fontId="9" fillId="4" borderId="33" xfId="0" applyFont="1" applyFill="1" applyBorder="1" applyAlignment="1" applyProtection="1">
      <alignment horizontal="center"/>
      <protection hidden="1"/>
    </xf>
    <xf numFmtId="0" fontId="9" fillId="4" borderId="36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4" fillId="4" borderId="37" xfId="0" applyFont="1" applyFill="1" applyBorder="1" applyAlignment="1" applyProtection="1">
      <alignment horizontal="center"/>
      <protection hidden="1"/>
    </xf>
    <xf numFmtId="2" fontId="4" fillId="4" borderId="81" xfId="0" applyNumberFormat="1" applyFont="1" applyFill="1" applyBorder="1" applyAlignment="1" applyProtection="1">
      <alignment horizontal="center"/>
      <protection hidden="1"/>
    </xf>
    <xf numFmtId="2" fontId="4" fillId="4" borderId="82" xfId="0" applyNumberFormat="1" applyFont="1" applyFill="1" applyBorder="1" applyAlignment="1" applyProtection="1">
      <alignment horizontal="center"/>
      <protection hidden="1"/>
    </xf>
    <xf numFmtId="2" fontId="4" fillId="4" borderId="83" xfId="0" applyNumberFormat="1" applyFont="1" applyFill="1" applyBorder="1" applyAlignment="1" applyProtection="1">
      <alignment horizontal="center"/>
      <protection hidden="1"/>
    </xf>
    <xf numFmtId="0" fontId="4" fillId="3" borderId="66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3" borderId="70" xfId="0" applyFont="1" applyFill="1" applyBorder="1" applyAlignment="1" applyProtection="1">
      <alignment horizontal="center" vertical="center"/>
      <protection hidden="1"/>
    </xf>
    <xf numFmtId="0" fontId="4" fillId="3" borderId="71" xfId="0" applyFont="1" applyFill="1" applyBorder="1" applyAlignment="1" applyProtection="1">
      <alignment horizontal="center" vertical="center"/>
      <protection hidden="1"/>
    </xf>
    <xf numFmtId="2" fontId="0" fillId="6" borderId="73" xfId="0" applyNumberFormat="1" applyFont="1" applyFill="1" applyBorder="1" applyAlignment="1" applyProtection="1">
      <alignment horizontal="center"/>
      <protection hidden="1"/>
    </xf>
    <xf numFmtId="2" fontId="0" fillId="6" borderId="40" xfId="0" applyNumberFormat="1" applyFont="1" applyFill="1" applyBorder="1" applyAlignment="1" applyProtection="1">
      <alignment horizontal="center"/>
      <protection hidden="1"/>
    </xf>
    <xf numFmtId="2" fontId="0" fillId="6" borderId="74" xfId="0" applyNumberFormat="1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2" fontId="0" fillId="6" borderId="70" xfId="0" applyNumberFormat="1" applyFont="1" applyFill="1" applyBorder="1" applyAlignment="1" applyProtection="1">
      <alignment horizontal="center"/>
      <protection hidden="1"/>
    </xf>
    <xf numFmtId="2" fontId="0" fillId="6" borderId="39" xfId="0" applyNumberFormat="1" applyFont="1" applyFill="1" applyBorder="1" applyAlignment="1" applyProtection="1">
      <alignment horizontal="center"/>
      <protection hidden="1"/>
    </xf>
    <xf numFmtId="2" fontId="0" fillId="6" borderId="71" xfId="0" applyNumberFormat="1" applyFont="1" applyFill="1" applyBorder="1" applyAlignment="1" applyProtection="1">
      <alignment horizontal="center"/>
      <protection hidden="1"/>
    </xf>
    <xf numFmtId="0" fontId="4" fillId="3" borderId="63" xfId="0" applyFont="1" applyFill="1" applyBorder="1" applyAlignment="1" applyProtection="1">
      <alignment horizontal="center" vertical="center"/>
      <protection hidden="1"/>
    </xf>
  </cellXfs>
  <cellStyles count="7">
    <cellStyle name="Normal" xfId="0" builtinId="0"/>
    <cellStyle name="Text explicativ" xfId="3" builtinId="53"/>
    <cellStyle name="Titlu" xfId="1" builtinId="15"/>
    <cellStyle name="Titlu 1" xfId="2" builtinId="16"/>
    <cellStyle name="Titlu 2" xfId="6" builtinId="17"/>
    <cellStyle name="Titlu 3" xfId="5" builtinId="18"/>
    <cellStyle name="Titlu 4" xfId="4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66"/>
  <sheetViews>
    <sheetView tabSelected="1" workbookViewId="0"/>
  </sheetViews>
  <sheetFormatPr defaultRowHeight="15" x14ac:dyDescent="0.25"/>
  <cols>
    <col min="1" max="16384" width="9.140625" style="48"/>
  </cols>
  <sheetData>
    <row r="1" spans="1:15" ht="23.25" x14ac:dyDescent="0.35">
      <c r="A1" s="47" t="s">
        <v>0</v>
      </c>
    </row>
    <row r="2" spans="1:15" x14ac:dyDescent="0.25">
      <c r="A2" s="49" t="s">
        <v>1</v>
      </c>
    </row>
    <row r="3" spans="1:15" ht="23.25" x14ac:dyDescent="0.35">
      <c r="A3" s="50" t="s">
        <v>116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5" spans="1:15" ht="20.25" thickBot="1" x14ac:dyDescent="0.35">
      <c r="A5" s="51" t="s">
        <v>42</v>
      </c>
      <c r="B5" s="51"/>
      <c r="C5" s="52"/>
    </row>
    <row r="6" spans="1:15" ht="15.75" thickTop="1" x14ac:dyDescent="0.25"/>
    <row r="7" spans="1:15" x14ac:dyDescent="0.25">
      <c r="B7" s="53" t="s">
        <v>78</v>
      </c>
    </row>
    <row r="9" spans="1:15" x14ac:dyDescent="0.25">
      <c r="B9" s="48" t="s">
        <v>45</v>
      </c>
    </row>
    <row r="10" spans="1:15" x14ac:dyDescent="0.25">
      <c r="B10" s="48" t="s">
        <v>44</v>
      </c>
    </row>
    <row r="12" spans="1:15" ht="20.25" thickBot="1" x14ac:dyDescent="0.35">
      <c r="A12" s="51" t="s">
        <v>43</v>
      </c>
      <c r="B12" s="51"/>
      <c r="C12" s="51"/>
    </row>
    <row r="13" spans="1:15" ht="15.75" thickTop="1" x14ac:dyDescent="0.25"/>
    <row r="14" spans="1:15" x14ac:dyDescent="0.25">
      <c r="B14" s="54" t="s">
        <v>46</v>
      </c>
      <c r="D14" s="55" t="s">
        <v>47</v>
      </c>
      <c r="E14" s="48" t="s">
        <v>68</v>
      </c>
    </row>
    <row r="15" spans="1:15" x14ac:dyDescent="0.25">
      <c r="D15" s="56" t="s">
        <v>71</v>
      </c>
    </row>
    <row r="16" spans="1:15" x14ac:dyDescent="0.25">
      <c r="D16" s="55" t="s">
        <v>72</v>
      </c>
    </row>
    <row r="18" spans="2:12" ht="15.75" thickBot="1" x14ac:dyDescent="0.3">
      <c r="B18" s="57" t="s">
        <v>51</v>
      </c>
      <c r="C18" s="57"/>
      <c r="D18" s="57"/>
      <c r="E18" s="57"/>
      <c r="F18" s="55" t="s">
        <v>52</v>
      </c>
      <c r="G18" s="54" t="s">
        <v>53</v>
      </c>
      <c r="I18" s="48" t="s">
        <v>54</v>
      </c>
    </row>
    <row r="20" spans="2:12" x14ac:dyDescent="0.25">
      <c r="F20" s="58" t="s">
        <v>66</v>
      </c>
      <c r="G20" s="58" t="s">
        <v>67</v>
      </c>
      <c r="H20" s="58"/>
      <c r="I20" s="58"/>
      <c r="J20" s="55" t="s">
        <v>3</v>
      </c>
      <c r="K20" s="58">
        <v>1855.261</v>
      </c>
      <c r="L20" s="58" t="s">
        <v>65</v>
      </c>
    </row>
    <row r="22" spans="2:12" ht="15.75" thickBot="1" x14ac:dyDescent="0.3">
      <c r="B22" s="57" t="s">
        <v>55</v>
      </c>
      <c r="C22" s="57"/>
      <c r="D22" s="57"/>
      <c r="E22" s="57"/>
      <c r="F22" s="57"/>
      <c r="G22" s="57"/>
      <c r="H22" s="57"/>
    </row>
    <row r="23" spans="2:12" ht="15.75" thickBot="1" x14ac:dyDescent="0.3"/>
    <row r="24" spans="2:12" x14ac:dyDescent="0.25">
      <c r="B24" s="59"/>
      <c r="C24" s="60"/>
      <c r="D24" s="60"/>
      <c r="E24" s="60"/>
      <c r="F24" s="60"/>
      <c r="G24" s="60"/>
      <c r="H24" s="60"/>
      <c r="I24" s="60"/>
      <c r="J24" s="61" t="s">
        <v>28</v>
      </c>
    </row>
    <row r="25" spans="2:12" ht="15.75" thickBot="1" x14ac:dyDescent="0.3">
      <c r="B25" s="62" t="s">
        <v>2</v>
      </c>
      <c r="C25" s="63" t="s">
        <v>3</v>
      </c>
      <c r="D25" s="64" t="s">
        <v>56</v>
      </c>
      <c r="E25" s="64"/>
      <c r="F25" s="64"/>
      <c r="G25" s="64"/>
      <c r="H25" s="64"/>
      <c r="I25" s="64"/>
      <c r="J25" s="65"/>
    </row>
    <row r="27" spans="2:12" x14ac:dyDescent="0.25">
      <c r="B27" s="48" t="s">
        <v>48</v>
      </c>
    </row>
    <row r="28" spans="2:12" x14ac:dyDescent="0.25">
      <c r="C28" s="55" t="s">
        <v>47</v>
      </c>
      <c r="D28" s="55" t="s">
        <v>72</v>
      </c>
      <c r="E28" s="48" t="s">
        <v>49</v>
      </c>
    </row>
    <row r="29" spans="2:12" x14ac:dyDescent="0.25">
      <c r="C29" s="55" t="s">
        <v>13</v>
      </c>
      <c r="E29" s="48" t="s">
        <v>50</v>
      </c>
    </row>
    <row r="30" spans="2:12" x14ac:dyDescent="0.25">
      <c r="C30" s="55" t="s">
        <v>4</v>
      </c>
      <c r="E30" s="48" t="s">
        <v>79</v>
      </c>
    </row>
    <row r="31" spans="2:12" ht="15.75" thickBot="1" x14ac:dyDescent="0.3"/>
    <row r="32" spans="2:12" ht="15.75" thickBot="1" x14ac:dyDescent="0.3">
      <c r="B32" s="66" t="s">
        <v>35</v>
      </c>
      <c r="C32" s="67" t="s">
        <v>3</v>
      </c>
      <c r="D32" s="68" t="s">
        <v>57</v>
      </c>
      <c r="E32" s="69"/>
    </row>
    <row r="34" spans="1:9" x14ac:dyDescent="0.25">
      <c r="B34" s="48" t="s">
        <v>80</v>
      </c>
    </row>
    <row r="35" spans="1:9" x14ac:dyDescent="0.25">
      <c r="C35" s="48" t="s">
        <v>81</v>
      </c>
    </row>
    <row r="37" spans="1:9" x14ac:dyDescent="0.25">
      <c r="B37" s="48" t="s">
        <v>58</v>
      </c>
      <c r="E37" s="48" t="s">
        <v>59</v>
      </c>
      <c r="G37" s="56" t="s">
        <v>36</v>
      </c>
      <c r="H37" s="56" t="s">
        <v>3</v>
      </c>
      <c r="I37" s="48" t="s">
        <v>37</v>
      </c>
    </row>
    <row r="38" spans="1:9" x14ac:dyDescent="0.25">
      <c r="E38" s="48" t="s">
        <v>60</v>
      </c>
      <c r="G38" s="56" t="s">
        <v>36</v>
      </c>
      <c r="H38" s="56" t="s">
        <v>3</v>
      </c>
      <c r="I38" s="48" t="s">
        <v>39</v>
      </c>
    </row>
    <row r="39" spans="1:9" x14ac:dyDescent="0.25">
      <c r="E39" s="48" t="s">
        <v>61</v>
      </c>
      <c r="G39" s="56" t="s">
        <v>36</v>
      </c>
      <c r="H39" s="56" t="s">
        <v>3</v>
      </c>
      <c r="I39" s="48" t="s">
        <v>40</v>
      </c>
    </row>
    <row r="40" spans="1:9" x14ac:dyDescent="0.25">
      <c r="E40" s="48" t="s">
        <v>62</v>
      </c>
      <c r="G40" s="56" t="s">
        <v>36</v>
      </c>
      <c r="H40" s="56" t="s">
        <v>3</v>
      </c>
      <c r="I40" s="48" t="s">
        <v>38</v>
      </c>
    </row>
    <row r="41" spans="1:9" x14ac:dyDescent="0.25">
      <c r="E41" s="48" t="s">
        <v>69</v>
      </c>
    </row>
    <row r="43" spans="1:9" ht="20.25" thickBot="1" x14ac:dyDescent="0.35">
      <c r="A43" s="51" t="s">
        <v>82</v>
      </c>
      <c r="B43" s="51"/>
      <c r="C43" s="51"/>
      <c r="D43" s="51"/>
      <c r="E43" s="51"/>
    </row>
    <row r="44" spans="1:9" ht="15.75" thickTop="1" x14ac:dyDescent="0.25"/>
    <row r="45" spans="1:9" x14ac:dyDescent="0.25">
      <c r="B45" s="54" t="s">
        <v>84</v>
      </c>
      <c r="H45" s="55" t="s">
        <v>83</v>
      </c>
      <c r="I45" s="55" t="s">
        <v>52</v>
      </c>
    </row>
    <row r="47" spans="1:9" x14ac:dyDescent="0.25">
      <c r="H47" s="48" t="s">
        <v>110</v>
      </c>
    </row>
    <row r="48" spans="1:9" x14ac:dyDescent="0.25">
      <c r="H48" s="48" t="s">
        <v>71</v>
      </c>
    </row>
    <row r="49" spans="2:8" x14ac:dyDescent="0.25">
      <c r="H49" s="48" t="s">
        <v>77</v>
      </c>
    </row>
    <row r="51" spans="2:8" ht="18" thickBot="1" x14ac:dyDescent="0.35">
      <c r="B51" s="70" t="s">
        <v>114</v>
      </c>
      <c r="C51" s="70"/>
      <c r="D51" s="70"/>
      <c r="E51" s="70"/>
      <c r="F51" s="71"/>
    </row>
    <row r="52" spans="2:8" ht="15.75" thickTop="1" x14ac:dyDescent="0.25"/>
    <row r="53" spans="2:8" x14ac:dyDescent="0.25">
      <c r="B53" s="48" t="s">
        <v>85</v>
      </c>
    </row>
    <row r="54" spans="2:8" x14ac:dyDescent="0.25">
      <c r="B54" s="48" t="s">
        <v>113</v>
      </c>
    </row>
    <row r="55" spans="2:8" ht="15.75" thickBot="1" x14ac:dyDescent="0.3"/>
    <row r="56" spans="2:8" ht="15.75" thickBot="1" x14ac:dyDescent="0.3">
      <c r="B56" s="72" t="s">
        <v>76</v>
      </c>
      <c r="C56" s="67" t="s">
        <v>3</v>
      </c>
      <c r="D56" s="68" t="s">
        <v>115</v>
      </c>
      <c r="E56" s="69"/>
    </row>
    <row r="58" spans="2:8" x14ac:dyDescent="0.25">
      <c r="B58" s="54" t="s">
        <v>86</v>
      </c>
      <c r="D58" s="55" t="s">
        <v>75</v>
      </c>
      <c r="E58" s="48" t="s">
        <v>111</v>
      </c>
    </row>
    <row r="60" spans="2:8" x14ac:dyDescent="0.25">
      <c r="E60" s="48" t="s">
        <v>112</v>
      </c>
    </row>
    <row r="62" spans="2:8" x14ac:dyDescent="0.25">
      <c r="E62" s="48" t="s">
        <v>89</v>
      </c>
    </row>
    <row r="63" spans="2:8" x14ac:dyDescent="0.25">
      <c r="E63" s="48" t="s">
        <v>87</v>
      </c>
    </row>
    <row r="64" spans="2:8" x14ac:dyDescent="0.25">
      <c r="E64" s="48" t="s">
        <v>88</v>
      </c>
    </row>
    <row r="66" spans="1:1" x14ac:dyDescent="0.25">
      <c r="A66" s="49" t="s">
        <v>5</v>
      </c>
    </row>
  </sheetData>
  <sheetProtection algorithmName="SHA-512" hashValue="8YE9xx1hf4NiB3sBK8WOkoVD3Bscg/wV2n88CNp0oAJ+qT87yA7h8XE4jOJBFNG+XSnNIQrmvTL8lEcmHZYUhw==" saltValue="91Qp+2rWnKsdFWEEPYWpkw==" spinCount="100000" sheet="1" objects="1" scenarios="1"/>
  <mergeCells count="4">
    <mergeCell ref="D56:E56"/>
    <mergeCell ref="D32:E32"/>
    <mergeCell ref="A3:O3"/>
    <mergeCell ref="D25:J25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workbookViewId="0"/>
  </sheetViews>
  <sheetFormatPr defaultRowHeight="15" x14ac:dyDescent="0.25"/>
  <cols>
    <col min="1" max="3" width="6.7109375" style="48" customWidth="1"/>
    <col min="4" max="8" width="11.7109375" style="48" customWidth="1"/>
    <col min="9" max="11" width="7.7109375" style="48" customWidth="1"/>
    <col min="12" max="12" width="4.7109375" style="48" customWidth="1"/>
    <col min="13" max="15" width="9.140625" style="48"/>
    <col min="16" max="16" width="4.7109375" style="48" customWidth="1"/>
    <col min="17" max="16384" width="9.140625" style="48"/>
  </cols>
  <sheetData>
    <row r="1" spans="1:18" ht="23.25" x14ac:dyDescent="0.35">
      <c r="A1" s="47" t="s">
        <v>0</v>
      </c>
      <c r="B1" s="47"/>
    </row>
    <row r="2" spans="1:18" x14ac:dyDescent="0.25">
      <c r="A2" s="49" t="s">
        <v>1</v>
      </c>
      <c r="B2" s="49"/>
    </row>
    <row r="4" spans="1:18" ht="20.25" thickBot="1" x14ac:dyDescent="0.35">
      <c r="A4" s="51" t="s">
        <v>90</v>
      </c>
      <c r="B4" s="51"/>
      <c r="C4" s="51"/>
      <c r="D4" s="51"/>
      <c r="E4" s="51"/>
    </row>
    <row r="5" spans="1:18" ht="15.75" thickTop="1" x14ac:dyDescent="0.25"/>
    <row r="6" spans="1:18" x14ac:dyDescent="0.25">
      <c r="A6" s="73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4"/>
    </row>
    <row r="7" spans="1:18" x14ac:dyDescent="0.25">
      <c r="I7" s="55"/>
      <c r="J7" s="55"/>
      <c r="K7" s="55"/>
      <c r="L7" s="55"/>
    </row>
    <row r="8" spans="1:18" ht="15.75" thickBot="1" x14ac:dyDescent="0.3">
      <c r="A8" s="54" t="s">
        <v>92</v>
      </c>
      <c r="I8" s="75" t="s">
        <v>14</v>
      </c>
      <c r="J8" s="75"/>
      <c r="K8" s="75"/>
      <c r="L8" s="76"/>
      <c r="M8" s="75" t="s">
        <v>34</v>
      </c>
      <c r="N8" s="75"/>
      <c r="O8" s="75"/>
    </row>
    <row r="9" spans="1:18" ht="15.75" customHeight="1" thickTop="1" x14ac:dyDescent="0.25">
      <c r="A9" s="77" t="s">
        <v>7</v>
      </c>
      <c r="B9" s="78"/>
      <c r="C9" s="79"/>
      <c r="D9" s="80"/>
      <c r="E9" s="81"/>
      <c r="F9" s="81"/>
      <c r="G9" s="81"/>
      <c r="H9" s="82" t="s">
        <v>28</v>
      </c>
      <c r="I9" s="83" t="s">
        <v>64</v>
      </c>
      <c r="J9" s="84"/>
      <c r="K9" s="85"/>
      <c r="L9" s="86" t="s">
        <v>101</v>
      </c>
      <c r="M9" s="83" t="s">
        <v>64</v>
      </c>
      <c r="N9" s="84"/>
      <c r="O9" s="85"/>
      <c r="P9" s="87" t="s">
        <v>101</v>
      </c>
      <c r="Q9" s="88"/>
      <c r="R9" s="89"/>
    </row>
    <row r="10" spans="1:18" x14ac:dyDescent="0.25">
      <c r="A10" s="90"/>
      <c r="B10" s="91"/>
      <c r="C10" s="92"/>
      <c r="D10" s="93" t="s">
        <v>63</v>
      </c>
      <c r="E10" s="94"/>
      <c r="F10" s="94"/>
      <c r="G10" s="94"/>
      <c r="H10" s="95"/>
      <c r="I10" s="96"/>
      <c r="J10" s="97"/>
      <c r="K10" s="98"/>
      <c r="L10" s="99"/>
      <c r="M10" s="96"/>
      <c r="N10" s="97"/>
      <c r="O10" s="98"/>
      <c r="P10" s="100"/>
      <c r="Q10" s="88"/>
      <c r="R10" s="89"/>
    </row>
    <row r="11" spans="1:18" ht="15.75" thickBot="1" x14ac:dyDescent="0.3">
      <c r="A11" s="101"/>
      <c r="B11" s="102"/>
      <c r="C11" s="103"/>
      <c r="D11" s="104" t="s">
        <v>8</v>
      </c>
      <c r="E11" s="105"/>
      <c r="F11" s="105"/>
      <c r="G11" s="106"/>
      <c r="H11" s="107" t="s">
        <v>9</v>
      </c>
      <c r="I11" s="108" t="s">
        <v>10</v>
      </c>
      <c r="J11" s="109" t="s">
        <v>11</v>
      </c>
      <c r="K11" s="109" t="s">
        <v>12</v>
      </c>
      <c r="L11" s="110"/>
      <c r="M11" s="108" t="s">
        <v>10</v>
      </c>
      <c r="N11" s="109" t="s">
        <v>11</v>
      </c>
      <c r="O11" s="109" t="s">
        <v>12</v>
      </c>
      <c r="P11" s="111"/>
      <c r="Q11" s="88"/>
      <c r="R11" s="89"/>
    </row>
    <row r="12" spans="1:18" x14ac:dyDescent="0.25">
      <c r="A12" s="112" t="s">
        <v>33</v>
      </c>
      <c r="B12" s="113"/>
      <c r="C12" s="114"/>
      <c r="D12" s="115" t="s">
        <v>13</v>
      </c>
      <c r="E12" s="116"/>
      <c r="F12" s="117"/>
      <c r="G12" s="116"/>
      <c r="H12" s="118"/>
      <c r="I12" s="119">
        <v>2</v>
      </c>
      <c r="J12" s="120">
        <v>15</v>
      </c>
      <c r="K12" s="120">
        <v>0</v>
      </c>
      <c r="L12" s="121" t="s">
        <v>103</v>
      </c>
      <c r="M12" s="119">
        <v>44</v>
      </c>
      <c r="N12" s="120">
        <v>25</v>
      </c>
      <c r="O12" s="120">
        <v>0</v>
      </c>
      <c r="P12" s="122" t="s">
        <v>102</v>
      </c>
    </row>
    <row r="13" spans="1:18" x14ac:dyDescent="0.25">
      <c r="A13" s="123" t="s">
        <v>22</v>
      </c>
      <c r="B13" s="124"/>
      <c r="C13" s="125"/>
      <c r="D13" s="126" t="s">
        <v>24</v>
      </c>
      <c r="E13" s="127"/>
      <c r="F13" s="128"/>
      <c r="G13" s="127"/>
      <c r="H13" s="118"/>
      <c r="I13" s="129">
        <v>298.3</v>
      </c>
      <c r="J13" s="130">
        <f>1/I13</f>
        <v>3.352329869259135E-3</v>
      </c>
      <c r="K13" s="131"/>
      <c r="L13" s="132"/>
      <c r="M13" s="129">
        <v>298.3</v>
      </c>
      <c r="N13" s="130">
        <f>1/M13</f>
        <v>3.352329869259135E-3</v>
      </c>
      <c r="O13" s="131"/>
      <c r="P13" s="132"/>
    </row>
    <row r="14" spans="1:18" ht="15.75" thickBot="1" x14ac:dyDescent="0.3">
      <c r="A14" s="133" t="s">
        <v>23</v>
      </c>
      <c r="B14" s="134"/>
      <c r="C14" s="135"/>
      <c r="D14" s="104" t="s">
        <v>4</v>
      </c>
      <c r="E14" s="106"/>
      <c r="F14" s="136" t="s">
        <v>41</v>
      </c>
      <c r="G14" s="137"/>
      <c r="H14" s="107"/>
      <c r="I14" s="138">
        <f>SQRT((2*J13)-(J13)^2)</f>
        <v>8.1813334016931152E-2</v>
      </c>
      <c r="J14" s="139"/>
      <c r="K14" s="139"/>
      <c r="L14" s="140"/>
      <c r="M14" s="138">
        <f>SQRT((2*N13)-(N13)^2)</f>
        <v>8.1813334016931152E-2</v>
      </c>
      <c r="N14" s="139"/>
      <c r="O14" s="139"/>
      <c r="P14" s="140"/>
    </row>
    <row r="15" spans="1:18" ht="15.75" thickBot="1" x14ac:dyDescent="0.3">
      <c r="A15" s="141" t="s">
        <v>64</v>
      </c>
      <c r="B15" s="142"/>
      <c r="C15" s="143"/>
      <c r="D15" s="144" t="s">
        <v>73</v>
      </c>
      <c r="E15" s="145"/>
      <c r="F15" s="146"/>
      <c r="G15" s="147"/>
      <c r="H15" s="148" t="s">
        <v>52</v>
      </c>
      <c r="I15" s="149">
        <f>Calculations!G18</f>
        <v>-134.13132841630801</v>
      </c>
      <c r="J15" s="150"/>
      <c r="K15" s="150"/>
      <c r="L15" s="151"/>
      <c r="M15" s="149">
        <f>Calculations!L18</f>
        <v>2964.5692841413393</v>
      </c>
      <c r="N15" s="150"/>
      <c r="O15" s="150"/>
      <c r="P15" s="151"/>
    </row>
    <row r="16" spans="1:18" ht="15.75" thickBot="1" x14ac:dyDescent="0.3">
      <c r="A16" s="54" t="s">
        <v>93</v>
      </c>
      <c r="I16" s="75" t="s">
        <v>94</v>
      </c>
      <c r="J16" s="75"/>
      <c r="K16" s="75"/>
      <c r="L16" s="76"/>
      <c r="M16" s="75" t="s">
        <v>95</v>
      </c>
      <c r="N16" s="75"/>
      <c r="O16" s="75"/>
    </row>
    <row r="17" spans="1:16" ht="15.75" customHeight="1" thickTop="1" x14ac:dyDescent="0.25">
      <c r="A17" s="77" t="s">
        <v>7</v>
      </c>
      <c r="B17" s="78"/>
      <c r="C17" s="79"/>
      <c r="D17" s="80"/>
      <c r="E17" s="81"/>
      <c r="F17" s="81"/>
      <c r="G17" s="81"/>
      <c r="H17" s="82" t="s">
        <v>28</v>
      </c>
      <c r="I17" s="83" t="s">
        <v>64</v>
      </c>
      <c r="J17" s="84"/>
      <c r="K17" s="85"/>
      <c r="L17" s="86" t="s">
        <v>101</v>
      </c>
      <c r="M17" s="83" t="s">
        <v>64</v>
      </c>
      <c r="N17" s="84"/>
      <c r="O17" s="85"/>
      <c r="P17" s="87" t="s">
        <v>101</v>
      </c>
    </row>
    <row r="18" spans="1:16" x14ac:dyDescent="0.25">
      <c r="A18" s="90"/>
      <c r="B18" s="91"/>
      <c r="C18" s="92"/>
      <c r="D18" s="93" t="s">
        <v>63</v>
      </c>
      <c r="E18" s="94"/>
      <c r="F18" s="94"/>
      <c r="G18" s="94"/>
      <c r="H18" s="95"/>
      <c r="I18" s="96"/>
      <c r="J18" s="97"/>
      <c r="K18" s="98"/>
      <c r="L18" s="99"/>
      <c r="M18" s="96"/>
      <c r="N18" s="97"/>
      <c r="O18" s="98"/>
      <c r="P18" s="100"/>
    </row>
    <row r="19" spans="1:16" ht="15.75" thickBot="1" x14ac:dyDescent="0.3">
      <c r="A19" s="101"/>
      <c r="B19" s="102"/>
      <c r="C19" s="103"/>
      <c r="D19" s="104" t="s">
        <v>8</v>
      </c>
      <c r="E19" s="105"/>
      <c r="F19" s="105"/>
      <c r="G19" s="106"/>
      <c r="H19" s="107" t="s">
        <v>9</v>
      </c>
      <c r="I19" s="108" t="s">
        <v>10</v>
      </c>
      <c r="J19" s="109" t="s">
        <v>11</v>
      </c>
      <c r="K19" s="109" t="s">
        <v>12</v>
      </c>
      <c r="L19" s="110"/>
      <c r="M19" s="108" t="s">
        <v>10</v>
      </c>
      <c r="N19" s="109" t="s">
        <v>11</v>
      </c>
      <c r="O19" s="109" t="s">
        <v>12</v>
      </c>
      <c r="P19" s="111"/>
    </row>
    <row r="20" spans="1:16" x14ac:dyDescent="0.25">
      <c r="A20" s="112" t="s">
        <v>33</v>
      </c>
      <c r="B20" s="113"/>
      <c r="C20" s="114"/>
      <c r="D20" s="115" t="s">
        <v>13</v>
      </c>
      <c r="E20" s="116"/>
      <c r="F20" s="117"/>
      <c r="G20" s="116"/>
      <c r="H20" s="118"/>
      <c r="I20" s="119">
        <v>3</v>
      </c>
      <c r="J20" s="120">
        <v>24</v>
      </c>
      <c r="K20" s="120">
        <v>0</v>
      </c>
      <c r="L20" s="121" t="s">
        <v>102</v>
      </c>
      <c r="M20" s="119">
        <v>43</v>
      </c>
      <c r="N20" s="120">
        <v>18</v>
      </c>
      <c r="O20" s="120">
        <v>0</v>
      </c>
      <c r="P20" s="122" t="s">
        <v>102</v>
      </c>
    </row>
    <row r="21" spans="1:16" x14ac:dyDescent="0.25">
      <c r="A21" s="123" t="s">
        <v>22</v>
      </c>
      <c r="B21" s="124"/>
      <c r="C21" s="125"/>
      <c r="D21" s="126" t="s">
        <v>24</v>
      </c>
      <c r="E21" s="127"/>
      <c r="F21" s="128"/>
      <c r="G21" s="127"/>
      <c r="H21" s="118"/>
      <c r="I21" s="129">
        <v>298.3</v>
      </c>
      <c r="J21" s="130">
        <f>1/I21</f>
        <v>3.352329869259135E-3</v>
      </c>
      <c r="K21" s="131"/>
      <c r="L21" s="132"/>
      <c r="M21" s="129">
        <v>298.3</v>
      </c>
      <c r="N21" s="130">
        <f>1/M21</f>
        <v>3.352329869259135E-3</v>
      </c>
      <c r="O21" s="131"/>
      <c r="P21" s="132"/>
    </row>
    <row r="22" spans="1:16" ht="15.75" thickBot="1" x14ac:dyDescent="0.3">
      <c r="A22" s="133" t="s">
        <v>23</v>
      </c>
      <c r="B22" s="134"/>
      <c r="C22" s="135"/>
      <c r="D22" s="104" t="s">
        <v>4</v>
      </c>
      <c r="E22" s="106"/>
      <c r="F22" s="136" t="s">
        <v>41</v>
      </c>
      <c r="G22" s="137"/>
      <c r="H22" s="107"/>
      <c r="I22" s="138">
        <f>SQRT((2*J21)-(J21)^2)</f>
        <v>8.1813334016931152E-2</v>
      </c>
      <c r="J22" s="139"/>
      <c r="K22" s="139"/>
      <c r="L22" s="140"/>
      <c r="M22" s="138">
        <f>SQRT((2*N21)-(N21)^2)</f>
        <v>8.1813334016931152E-2</v>
      </c>
      <c r="N22" s="139"/>
      <c r="O22" s="139"/>
      <c r="P22" s="140"/>
    </row>
    <row r="23" spans="1:16" ht="15.75" thickBot="1" x14ac:dyDescent="0.3">
      <c r="A23" s="141" t="s">
        <v>64</v>
      </c>
      <c r="B23" s="142"/>
      <c r="C23" s="143"/>
      <c r="D23" s="144" t="s">
        <v>73</v>
      </c>
      <c r="E23" s="145"/>
      <c r="F23" s="146"/>
      <c r="G23" s="147"/>
      <c r="H23" s="148" t="s">
        <v>52</v>
      </c>
      <c r="I23" s="149">
        <f>Calculations!G32</f>
        <v>202.75516486279159</v>
      </c>
      <c r="J23" s="150"/>
      <c r="K23" s="150"/>
      <c r="L23" s="151"/>
      <c r="M23" s="149">
        <f>Calculations!L32</f>
        <v>2871.9701184541195</v>
      </c>
      <c r="N23" s="150"/>
      <c r="O23" s="150"/>
      <c r="P23" s="151"/>
    </row>
    <row r="24" spans="1:16" ht="15.75" thickBot="1" x14ac:dyDescent="0.3">
      <c r="A24" s="54" t="s">
        <v>91</v>
      </c>
      <c r="I24" s="75" t="s">
        <v>96</v>
      </c>
      <c r="J24" s="75"/>
      <c r="K24" s="75"/>
      <c r="L24" s="76"/>
      <c r="M24" s="75" t="s">
        <v>96</v>
      </c>
      <c r="N24" s="75"/>
      <c r="O24" s="75"/>
    </row>
    <row r="25" spans="1:16" ht="15.75" thickTop="1" x14ac:dyDescent="0.25">
      <c r="A25" s="77" t="s">
        <v>7</v>
      </c>
      <c r="B25" s="78"/>
      <c r="C25" s="79"/>
      <c r="D25" s="80"/>
      <c r="E25" s="81"/>
      <c r="F25" s="81"/>
      <c r="G25" s="81"/>
      <c r="H25" s="82"/>
      <c r="I25" s="83" t="s">
        <v>91</v>
      </c>
      <c r="J25" s="84"/>
      <c r="K25" s="84"/>
      <c r="L25" s="152"/>
      <c r="M25" s="83" t="s">
        <v>91</v>
      </c>
      <c r="N25" s="84"/>
      <c r="O25" s="84"/>
      <c r="P25" s="152"/>
    </row>
    <row r="26" spans="1:16" x14ac:dyDescent="0.25">
      <c r="A26" s="90"/>
      <c r="B26" s="91"/>
      <c r="C26" s="92"/>
      <c r="D26" s="93" t="s">
        <v>97</v>
      </c>
      <c r="E26" s="94"/>
      <c r="F26" s="94"/>
      <c r="G26" s="94"/>
      <c r="H26" s="95"/>
      <c r="I26" s="96"/>
      <c r="J26" s="97"/>
      <c r="K26" s="97"/>
      <c r="L26" s="153"/>
      <c r="M26" s="96"/>
      <c r="N26" s="97"/>
      <c r="O26" s="97"/>
      <c r="P26" s="153"/>
    </row>
    <row r="27" spans="1:16" ht="15.75" thickBot="1" x14ac:dyDescent="0.3">
      <c r="A27" s="101"/>
      <c r="B27" s="102"/>
      <c r="C27" s="103"/>
      <c r="D27" s="104" t="s">
        <v>8</v>
      </c>
      <c r="E27" s="105"/>
      <c r="F27" s="105"/>
      <c r="G27" s="106"/>
      <c r="H27" s="107" t="s">
        <v>9</v>
      </c>
      <c r="I27" s="154"/>
      <c r="J27" s="102"/>
      <c r="K27" s="102"/>
      <c r="L27" s="155"/>
      <c r="M27" s="154"/>
      <c r="N27" s="102"/>
      <c r="O27" s="102"/>
      <c r="P27" s="155"/>
    </row>
    <row r="28" spans="1:16" x14ac:dyDescent="0.25">
      <c r="A28" s="112" t="s">
        <v>92</v>
      </c>
      <c r="B28" s="113"/>
      <c r="C28" s="114"/>
      <c r="D28" s="115" t="s">
        <v>98</v>
      </c>
      <c r="E28" s="116"/>
      <c r="F28" s="117"/>
      <c r="G28" s="116"/>
      <c r="H28" s="118" t="s">
        <v>52</v>
      </c>
      <c r="I28" s="156">
        <f>I15</f>
        <v>-134.13132841630801</v>
      </c>
      <c r="J28" s="157"/>
      <c r="K28" s="157"/>
      <c r="L28" s="158"/>
      <c r="M28" s="156">
        <f>M15</f>
        <v>2964.5692841413393</v>
      </c>
      <c r="N28" s="157"/>
      <c r="O28" s="157"/>
      <c r="P28" s="158"/>
    </row>
    <row r="29" spans="1:16" ht="15.75" thickBot="1" x14ac:dyDescent="0.3">
      <c r="A29" s="133" t="s">
        <v>93</v>
      </c>
      <c r="B29" s="134"/>
      <c r="C29" s="135"/>
      <c r="D29" s="104" t="s">
        <v>99</v>
      </c>
      <c r="E29" s="106"/>
      <c r="F29" s="159"/>
      <c r="G29" s="106"/>
      <c r="H29" s="107" t="s">
        <v>52</v>
      </c>
      <c r="I29" s="160">
        <f>I23</f>
        <v>202.75516486279159</v>
      </c>
      <c r="J29" s="161"/>
      <c r="K29" s="161"/>
      <c r="L29" s="162"/>
      <c r="M29" s="160">
        <f>M23</f>
        <v>2871.9701184541195</v>
      </c>
      <c r="N29" s="161"/>
      <c r="O29" s="161"/>
      <c r="P29" s="162"/>
    </row>
    <row r="30" spans="1:16" ht="15.75" thickBot="1" x14ac:dyDescent="0.3">
      <c r="A30" s="141" t="s">
        <v>91</v>
      </c>
      <c r="B30" s="142"/>
      <c r="C30" s="143"/>
      <c r="D30" s="144" t="s">
        <v>100</v>
      </c>
      <c r="E30" s="145"/>
      <c r="F30" s="146"/>
      <c r="G30" s="147"/>
      <c r="H30" s="148" t="s">
        <v>52</v>
      </c>
      <c r="I30" s="149">
        <f>Calculations!G38</f>
        <v>336.88649327909957</v>
      </c>
      <c r="J30" s="150"/>
      <c r="K30" s="150"/>
      <c r="L30" s="151"/>
      <c r="M30" s="149">
        <f>Calculations!L38</f>
        <v>92.599165687219738</v>
      </c>
      <c r="N30" s="150"/>
      <c r="O30" s="150"/>
      <c r="P30" s="151"/>
    </row>
    <row r="31" spans="1:16" x14ac:dyDescent="0.25">
      <c r="A31" s="49" t="s">
        <v>5</v>
      </c>
    </row>
  </sheetData>
  <sheetProtection algorithmName="SHA-512" hashValue="OCs2s6zSK7SwJMK8FQjLKdA/dyDzizctWCkmdwH7XsDSsleLvmIyY76UisuctU3ItfMtx9AvhC1w4aA84SnVsA==" saltValue="XXQ11QHwu9bQPhVNqOIfgg==" spinCount="100000" sheet="1" objects="1" scenarios="1"/>
  <protectedRanges>
    <protectedRange sqref="I20:L20 I21 M20:P20 M21" name="Zonă2"/>
    <protectedRange sqref="I12:L12 I13 M12:P12 M13" name="Zonă1"/>
  </protectedRanges>
  <mergeCells count="79">
    <mergeCell ref="M24:O24"/>
    <mergeCell ref="I16:K16"/>
    <mergeCell ref="M16:O16"/>
    <mergeCell ref="J21:L21"/>
    <mergeCell ref="N21:P21"/>
    <mergeCell ref="I23:L23"/>
    <mergeCell ref="M23:P23"/>
    <mergeCell ref="A30:C30"/>
    <mergeCell ref="D30:E30"/>
    <mergeCell ref="F30:G30"/>
    <mergeCell ref="L9:L11"/>
    <mergeCell ref="L17:L19"/>
    <mergeCell ref="I24:K24"/>
    <mergeCell ref="I28:L28"/>
    <mergeCell ref="A25:C27"/>
    <mergeCell ref="D26:H26"/>
    <mergeCell ref="D27:G27"/>
    <mergeCell ref="I25:L26"/>
    <mergeCell ref="I27:L27"/>
    <mergeCell ref="A28:C28"/>
    <mergeCell ref="D28:E28"/>
    <mergeCell ref="F28:G28"/>
    <mergeCell ref="A29:C29"/>
    <mergeCell ref="D29:E29"/>
    <mergeCell ref="F29:G29"/>
    <mergeCell ref="A23:C23"/>
    <mergeCell ref="D23:E23"/>
    <mergeCell ref="F23:G23"/>
    <mergeCell ref="A22:C22"/>
    <mergeCell ref="D22:E22"/>
    <mergeCell ref="F22:G22"/>
    <mergeCell ref="I22:L22"/>
    <mergeCell ref="M22:P22"/>
    <mergeCell ref="A20:C20"/>
    <mergeCell ref="D20:E20"/>
    <mergeCell ref="F20:G20"/>
    <mergeCell ref="A21:C21"/>
    <mergeCell ref="D21:E21"/>
    <mergeCell ref="F21:G21"/>
    <mergeCell ref="A17:C19"/>
    <mergeCell ref="I17:K18"/>
    <mergeCell ref="M17:O18"/>
    <mergeCell ref="D18:H18"/>
    <mergeCell ref="D19:G19"/>
    <mergeCell ref="A6:K6"/>
    <mergeCell ref="A9:C11"/>
    <mergeCell ref="A12:C12"/>
    <mergeCell ref="A13:C13"/>
    <mergeCell ref="D13:E13"/>
    <mergeCell ref="D12:E12"/>
    <mergeCell ref="F12:G12"/>
    <mergeCell ref="I9:K10"/>
    <mergeCell ref="D10:H10"/>
    <mergeCell ref="D11:G11"/>
    <mergeCell ref="F15:G15"/>
    <mergeCell ref="I8:K8"/>
    <mergeCell ref="F13:G13"/>
    <mergeCell ref="A15:C15"/>
    <mergeCell ref="D15:E15"/>
    <mergeCell ref="M8:O8"/>
    <mergeCell ref="M9:O10"/>
    <mergeCell ref="A14:C14"/>
    <mergeCell ref="D14:E14"/>
    <mergeCell ref="F14:G14"/>
    <mergeCell ref="P9:P11"/>
    <mergeCell ref="P17:P19"/>
    <mergeCell ref="J13:L13"/>
    <mergeCell ref="I14:L14"/>
    <mergeCell ref="I15:L15"/>
    <mergeCell ref="N13:P13"/>
    <mergeCell ref="M14:P14"/>
    <mergeCell ref="M15:P15"/>
    <mergeCell ref="I29:L29"/>
    <mergeCell ref="I30:L30"/>
    <mergeCell ref="M25:P26"/>
    <mergeCell ref="M27:P27"/>
    <mergeCell ref="M28:P28"/>
    <mergeCell ref="M29:P29"/>
    <mergeCell ref="M30:P3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31"/>
  <sheetViews>
    <sheetView workbookViewId="0"/>
  </sheetViews>
  <sheetFormatPr defaultRowHeight="15" x14ac:dyDescent="0.25"/>
  <cols>
    <col min="1" max="3" width="6.7109375" style="48" customWidth="1"/>
    <col min="4" max="8" width="11.7109375" style="48" customWidth="1"/>
    <col min="9" max="11" width="7.7109375" style="48" customWidth="1"/>
    <col min="12" max="16384" width="9.140625" style="48"/>
  </cols>
  <sheetData>
    <row r="1" spans="1:16" ht="23.25" x14ac:dyDescent="0.35">
      <c r="A1" s="47" t="s">
        <v>0</v>
      </c>
      <c r="B1" s="47"/>
    </row>
    <row r="2" spans="1:16" x14ac:dyDescent="0.25">
      <c r="A2" s="49" t="s">
        <v>1</v>
      </c>
      <c r="B2" s="49"/>
    </row>
    <row r="4" spans="1:16" ht="20.25" thickBot="1" x14ac:dyDescent="0.35">
      <c r="A4" s="51" t="s">
        <v>108</v>
      </c>
      <c r="B4" s="51"/>
      <c r="C4" s="51"/>
      <c r="D4" s="52"/>
      <c r="E4" s="52"/>
    </row>
    <row r="5" spans="1:16" ht="15.75" thickTop="1" x14ac:dyDescent="0.25"/>
    <row r="6" spans="1:16" x14ac:dyDescent="0.25">
      <c r="A6" s="73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6" x14ac:dyDescent="0.25">
      <c r="I7" s="55"/>
      <c r="J7" s="55"/>
      <c r="K7" s="55"/>
    </row>
    <row r="8" spans="1:16" ht="15.75" thickBot="1" x14ac:dyDescent="0.3">
      <c r="A8" s="54" t="s">
        <v>92</v>
      </c>
      <c r="I8" s="75" t="s">
        <v>14</v>
      </c>
      <c r="J8" s="75"/>
      <c r="K8" s="75"/>
      <c r="L8" s="75" t="s">
        <v>34</v>
      </c>
      <c r="M8" s="75"/>
      <c r="N8" s="75"/>
    </row>
    <row r="9" spans="1:16" ht="15.75" customHeight="1" thickTop="1" x14ac:dyDescent="0.25">
      <c r="A9" s="77" t="s">
        <v>7</v>
      </c>
      <c r="B9" s="78"/>
      <c r="C9" s="79"/>
      <c r="D9" s="80"/>
      <c r="E9" s="81"/>
      <c r="F9" s="81"/>
      <c r="G9" s="81"/>
      <c r="H9" s="82" t="s">
        <v>28</v>
      </c>
      <c r="I9" s="83" t="s">
        <v>64</v>
      </c>
      <c r="J9" s="84"/>
      <c r="K9" s="85"/>
      <c r="L9" s="83" t="s">
        <v>64</v>
      </c>
      <c r="M9" s="84"/>
      <c r="N9" s="152"/>
      <c r="O9" s="88"/>
      <c r="P9" s="89"/>
    </row>
    <row r="10" spans="1:16" x14ac:dyDescent="0.25">
      <c r="A10" s="90"/>
      <c r="B10" s="91"/>
      <c r="C10" s="92"/>
      <c r="D10" s="93" t="s">
        <v>63</v>
      </c>
      <c r="E10" s="94"/>
      <c r="F10" s="94"/>
      <c r="G10" s="94"/>
      <c r="H10" s="95"/>
      <c r="I10" s="96"/>
      <c r="J10" s="97"/>
      <c r="K10" s="98"/>
      <c r="L10" s="96"/>
      <c r="M10" s="97"/>
      <c r="N10" s="153"/>
      <c r="O10" s="88"/>
      <c r="P10" s="89"/>
    </row>
    <row r="11" spans="1:16" ht="15.75" thickBot="1" x14ac:dyDescent="0.3">
      <c r="A11" s="101"/>
      <c r="B11" s="102"/>
      <c r="C11" s="103"/>
      <c r="D11" s="104" t="s">
        <v>8</v>
      </c>
      <c r="E11" s="105"/>
      <c r="F11" s="105"/>
      <c r="G11" s="106"/>
      <c r="H11" s="107" t="s">
        <v>9</v>
      </c>
      <c r="I11" s="108" t="s">
        <v>10</v>
      </c>
      <c r="J11" s="109" t="s">
        <v>11</v>
      </c>
      <c r="K11" s="109" t="s">
        <v>12</v>
      </c>
      <c r="L11" s="108" t="s">
        <v>10</v>
      </c>
      <c r="M11" s="109" t="s">
        <v>11</v>
      </c>
      <c r="N11" s="163" t="s">
        <v>12</v>
      </c>
      <c r="O11" s="88"/>
      <c r="P11" s="89"/>
    </row>
    <row r="12" spans="1:16" x14ac:dyDescent="0.25">
      <c r="A12" s="112" t="s">
        <v>33</v>
      </c>
      <c r="B12" s="113"/>
      <c r="C12" s="114"/>
      <c r="D12" s="115" t="s">
        <v>13</v>
      </c>
      <c r="E12" s="116"/>
      <c r="F12" s="117"/>
      <c r="G12" s="116"/>
      <c r="H12" s="118"/>
      <c r="I12" s="119">
        <v>40</v>
      </c>
      <c r="J12" s="120">
        <v>1</v>
      </c>
      <c r="K12" s="120">
        <v>0</v>
      </c>
      <c r="L12" s="119">
        <v>60</v>
      </c>
      <c r="M12" s="120">
        <v>1</v>
      </c>
      <c r="N12" s="122">
        <v>0</v>
      </c>
    </row>
    <row r="13" spans="1:16" x14ac:dyDescent="0.25">
      <c r="A13" s="123" t="s">
        <v>22</v>
      </c>
      <c r="B13" s="124"/>
      <c r="C13" s="125"/>
      <c r="D13" s="126" t="s">
        <v>24</v>
      </c>
      <c r="E13" s="127"/>
      <c r="F13" s="128"/>
      <c r="G13" s="127"/>
      <c r="H13" s="118"/>
      <c r="I13" s="129">
        <v>298.3</v>
      </c>
      <c r="J13" s="130">
        <f>1/I13</f>
        <v>3.352329869259135E-3</v>
      </c>
      <c r="K13" s="131"/>
      <c r="L13" s="129">
        <v>298.3</v>
      </c>
      <c r="M13" s="130">
        <f>1/L13</f>
        <v>3.352329869259135E-3</v>
      </c>
      <c r="N13" s="132"/>
    </row>
    <row r="14" spans="1:16" ht="15.75" thickBot="1" x14ac:dyDescent="0.3">
      <c r="A14" s="133" t="s">
        <v>23</v>
      </c>
      <c r="B14" s="134"/>
      <c r="C14" s="135"/>
      <c r="D14" s="104" t="s">
        <v>4</v>
      </c>
      <c r="E14" s="106"/>
      <c r="F14" s="136" t="s">
        <v>41</v>
      </c>
      <c r="G14" s="137"/>
      <c r="H14" s="107"/>
      <c r="I14" s="138">
        <f>SQRT((2*J13)-(J13)^2)</f>
        <v>8.1813334016931152E-2</v>
      </c>
      <c r="J14" s="139"/>
      <c r="K14" s="139"/>
      <c r="L14" s="138">
        <f>SQRT((2*M13)-(M13)^2)</f>
        <v>8.1813334016931152E-2</v>
      </c>
      <c r="M14" s="139"/>
      <c r="N14" s="140"/>
    </row>
    <row r="15" spans="1:16" ht="15.75" thickBot="1" x14ac:dyDescent="0.3">
      <c r="A15" s="141" t="s">
        <v>64</v>
      </c>
      <c r="B15" s="142"/>
      <c r="C15" s="143"/>
      <c r="D15" s="144" t="s">
        <v>73</v>
      </c>
      <c r="E15" s="145"/>
      <c r="F15" s="146"/>
      <c r="G15" s="147"/>
      <c r="H15" s="148" t="s">
        <v>52</v>
      </c>
      <c r="I15" s="149">
        <f>'Calculations (2)'!G18</f>
        <v>2609.1862324764375</v>
      </c>
      <c r="J15" s="150"/>
      <c r="K15" s="150"/>
      <c r="L15" s="149">
        <f>'Calculations (2)'!L18</f>
        <v>4509.4039577193125</v>
      </c>
      <c r="M15" s="150"/>
      <c r="N15" s="151"/>
    </row>
    <row r="16" spans="1:16" ht="15.75" thickBot="1" x14ac:dyDescent="0.3">
      <c r="A16" s="54" t="s">
        <v>93</v>
      </c>
      <c r="I16" s="75" t="s">
        <v>94</v>
      </c>
      <c r="J16" s="75"/>
      <c r="K16" s="75"/>
      <c r="L16" s="75" t="s">
        <v>95</v>
      </c>
      <c r="M16" s="75"/>
      <c r="N16" s="75"/>
    </row>
    <row r="17" spans="1:14" ht="15.75" customHeight="1" thickTop="1" x14ac:dyDescent="0.25">
      <c r="A17" s="77" t="s">
        <v>7</v>
      </c>
      <c r="B17" s="78"/>
      <c r="C17" s="79"/>
      <c r="D17" s="80"/>
      <c r="E17" s="81"/>
      <c r="F17" s="81"/>
      <c r="G17" s="81"/>
      <c r="H17" s="82" t="s">
        <v>28</v>
      </c>
      <c r="I17" s="83" t="s">
        <v>64</v>
      </c>
      <c r="J17" s="84"/>
      <c r="K17" s="85"/>
      <c r="L17" s="83" t="s">
        <v>64</v>
      </c>
      <c r="M17" s="84"/>
      <c r="N17" s="152"/>
    </row>
    <row r="18" spans="1:14" x14ac:dyDescent="0.25">
      <c r="A18" s="90"/>
      <c r="B18" s="91"/>
      <c r="C18" s="92"/>
      <c r="D18" s="93" t="s">
        <v>63</v>
      </c>
      <c r="E18" s="94"/>
      <c r="F18" s="94"/>
      <c r="G18" s="94"/>
      <c r="H18" s="95"/>
      <c r="I18" s="96"/>
      <c r="J18" s="97"/>
      <c r="K18" s="98"/>
      <c r="L18" s="96"/>
      <c r="M18" s="97"/>
      <c r="N18" s="153"/>
    </row>
    <row r="19" spans="1:14" ht="15.75" thickBot="1" x14ac:dyDescent="0.3">
      <c r="A19" s="101"/>
      <c r="B19" s="102"/>
      <c r="C19" s="103"/>
      <c r="D19" s="104" t="s">
        <v>8</v>
      </c>
      <c r="E19" s="105"/>
      <c r="F19" s="105"/>
      <c r="G19" s="106"/>
      <c r="H19" s="107" t="s">
        <v>9</v>
      </c>
      <c r="I19" s="108" t="s">
        <v>10</v>
      </c>
      <c r="J19" s="109" t="s">
        <v>11</v>
      </c>
      <c r="K19" s="109" t="s">
        <v>12</v>
      </c>
      <c r="L19" s="108" t="s">
        <v>10</v>
      </c>
      <c r="M19" s="109" t="s">
        <v>11</v>
      </c>
      <c r="N19" s="163" t="s">
        <v>12</v>
      </c>
    </row>
    <row r="20" spans="1:14" x14ac:dyDescent="0.25">
      <c r="A20" s="112" t="s">
        <v>33</v>
      </c>
      <c r="B20" s="113"/>
      <c r="C20" s="114"/>
      <c r="D20" s="115" t="s">
        <v>13</v>
      </c>
      <c r="E20" s="116"/>
      <c r="F20" s="117"/>
      <c r="G20" s="116"/>
      <c r="H20" s="118"/>
      <c r="I20" s="119">
        <v>40</v>
      </c>
      <c r="J20" s="120">
        <v>0</v>
      </c>
      <c r="K20" s="120">
        <v>0</v>
      </c>
      <c r="L20" s="119">
        <v>60</v>
      </c>
      <c r="M20" s="120">
        <v>0</v>
      </c>
      <c r="N20" s="122">
        <v>0</v>
      </c>
    </row>
    <row r="21" spans="1:14" x14ac:dyDescent="0.25">
      <c r="A21" s="123" t="s">
        <v>22</v>
      </c>
      <c r="B21" s="124"/>
      <c r="C21" s="125"/>
      <c r="D21" s="126" t="s">
        <v>24</v>
      </c>
      <c r="E21" s="127"/>
      <c r="F21" s="128"/>
      <c r="G21" s="127"/>
      <c r="H21" s="118"/>
      <c r="I21" s="129">
        <v>298.3</v>
      </c>
      <c r="J21" s="130">
        <f>1/I21</f>
        <v>3.352329869259135E-3</v>
      </c>
      <c r="K21" s="131"/>
      <c r="L21" s="129">
        <v>298.3</v>
      </c>
      <c r="M21" s="130">
        <f>1/L21</f>
        <v>3.352329869259135E-3</v>
      </c>
      <c r="N21" s="132"/>
    </row>
    <row r="22" spans="1:14" ht="15.75" thickBot="1" x14ac:dyDescent="0.3">
      <c r="A22" s="133" t="s">
        <v>23</v>
      </c>
      <c r="B22" s="134"/>
      <c r="C22" s="135"/>
      <c r="D22" s="104" t="s">
        <v>4</v>
      </c>
      <c r="E22" s="106"/>
      <c r="F22" s="136" t="s">
        <v>41</v>
      </c>
      <c r="G22" s="137"/>
      <c r="H22" s="107"/>
      <c r="I22" s="138">
        <f>SQRT((2*J21)-(J21)^2)</f>
        <v>8.1813334016931152E-2</v>
      </c>
      <c r="J22" s="139"/>
      <c r="K22" s="139"/>
      <c r="L22" s="138">
        <f>SQRT((2*M21)-(M21)^2)</f>
        <v>8.1813334016931152E-2</v>
      </c>
      <c r="M22" s="139"/>
      <c r="N22" s="140"/>
    </row>
    <row r="23" spans="1:14" ht="15.75" thickBot="1" x14ac:dyDescent="0.3">
      <c r="A23" s="141" t="s">
        <v>64</v>
      </c>
      <c r="B23" s="142"/>
      <c r="C23" s="143"/>
      <c r="D23" s="144" t="s">
        <v>73</v>
      </c>
      <c r="E23" s="145"/>
      <c r="F23" s="146"/>
      <c r="G23" s="147"/>
      <c r="H23" s="148" t="s">
        <v>52</v>
      </c>
      <c r="I23" s="149">
        <f>'Calculations (2)'!G32</f>
        <v>2607.8858068835375</v>
      </c>
      <c r="J23" s="150"/>
      <c r="K23" s="150"/>
      <c r="L23" s="149">
        <f>'Calculations (2)'!L32</f>
        <v>4507.4068164403561</v>
      </c>
      <c r="M23" s="150"/>
      <c r="N23" s="151"/>
    </row>
    <row r="24" spans="1:14" ht="15.75" thickBot="1" x14ac:dyDescent="0.3">
      <c r="A24" s="54" t="s">
        <v>91</v>
      </c>
      <c r="I24" s="75" t="s">
        <v>96</v>
      </c>
      <c r="J24" s="75"/>
      <c r="K24" s="75"/>
      <c r="L24" s="75" t="s">
        <v>96</v>
      </c>
      <c r="M24" s="75"/>
      <c r="N24" s="75"/>
    </row>
    <row r="25" spans="1:14" ht="15.75" thickTop="1" x14ac:dyDescent="0.25">
      <c r="A25" s="77" t="s">
        <v>7</v>
      </c>
      <c r="B25" s="78"/>
      <c r="C25" s="79"/>
      <c r="D25" s="80"/>
      <c r="E25" s="81"/>
      <c r="F25" s="81"/>
      <c r="G25" s="81"/>
      <c r="H25" s="82"/>
      <c r="I25" s="83" t="s">
        <v>91</v>
      </c>
      <c r="J25" s="84"/>
      <c r="K25" s="84"/>
      <c r="L25" s="83" t="s">
        <v>91</v>
      </c>
      <c r="M25" s="84"/>
      <c r="N25" s="152"/>
    </row>
    <row r="26" spans="1:14" x14ac:dyDescent="0.25">
      <c r="A26" s="90"/>
      <c r="B26" s="91"/>
      <c r="C26" s="92"/>
      <c r="D26" s="93" t="s">
        <v>109</v>
      </c>
      <c r="E26" s="94"/>
      <c r="F26" s="94"/>
      <c r="G26" s="94"/>
      <c r="H26" s="95"/>
      <c r="I26" s="96"/>
      <c r="J26" s="97"/>
      <c r="K26" s="97"/>
      <c r="L26" s="96"/>
      <c r="M26" s="97"/>
      <c r="N26" s="153"/>
    </row>
    <row r="27" spans="1:14" ht="15.75" thickBot="1" x14ac:dyDescent="0.3">
      <c r="A27" s="101"/>
      <c r="B27" s="102"/>
      <c r="C27" s="103"/>
      <c r="D27" s="104" t="s">
        <v>8</v>
      </c>
      <c r="E27" s="105"/>
      <c r="F27" s="105"/>
      <c r="G27" s="106"/>
      <c r="H27" s="107" t="s">
        <v>9</v>
      </c>
      <c r="I27" s="154"/>
      <c r="J27" s="102"/>
      <c r="K27" s="102"/>
      <c r="L27" s="154"/>
      <c r="M27" s="102"/>
      <c r="N27" s="155"/>
    </row>
    <row r="28" spans="1:14" x14ac:dyDescent="0.25">
      <c r="A28" s="112" t="s">
        <v>92</v>
      </c>
      <c r="B28" s="113"/>
      <c r="C28" s="114"/>
      <c r="D28" s="115" t="s">
        <v>98</v>
      </c>
      <c r="E28" s="116"/>
      <c r="F28" s="117"/>
      <c r="G28" s="116"/>
      <c r="H28" s="118" t="s">
        <v>52</v>
      </c>
      <c r="I28" s="156">
        <f>I15</f>
        <v>2609.1862324764375</v>
      </c>
      <c r="J28" s="157"/>
      <c r="K28" s="157"/>
      <c r="L28" s="156">
        <f>L15</f>
        <v>4509.4039577193125</v>
      </c>
      <c r="M28" s="157"/>
      <c r="N28" s="158"/>
    </row>
    <row r="29" spans="1:14" ht="15.75" thickBot="1" x14ac:dyDescent="0.3">
      <c r="A29" s="133" t="s">
        <v>93</v>
      </c>
      <c r="B29" s="134"/>
      <c r="C29" s="135"/>
      <c r="D29" s="104" t="s">
        <v>99</v>
      </c>
      <c r="E29" s="106"/>
      <c r="F29" s="159"/>
      <c r="G29" s="106"/>
      <c r="H29" s="107" t="s">
        <v>52</v>
      </c>
      <c r="I29" s="160">
        <f>I23</f>
        <v>2607.8858068835375</v>
      </c>
      <c r="J29" s="161"/>
      <c r="K29" s="161"/>
      <c r="L29" s="160">
        <f>L23</f>
        <v>4507.4068164403561</v>
      </c>
      <c r="M29" s="161"/>
      <c r="N29" s="162"/>
    </row>
    <row r="30" spans="1:14" ht="15.75" thickBot="1" x14ac:dyDescent="0.3">
      <c r="A30" s="141" t="s">
        <v>91</v>
      </c>
      <c r="B30" s="142"/>
      <c r="C30" s="143"/>
      <c r="D30" s="144" t="s">
        <v>100</v>
      </c>
      <c r="E30" s="145"/>
      <c r="F30" s="146"/>
      <c r="G30" s="147"/>
      <c r="H30" s="148" t="s">
        <v>52</v>
      </c>
      <c r="I30" s="149">
        <f>'Calculations (2)'!G38</f>
        <v>1.3004255928999555</v>
      </c>
      <c r="J30" s="150"/>
      <c r="K30" s="150"/>
      <c r="L30" s="149">
        <f>'Calculations (2)'!L38</f>
        <v>1.9971412789564056</v>
      </c>
      <c r="M30" s="150"/>
      <c r="N30" s="151"/>
    </row>
    <row r="31" spans="1:14" x14ac:dyDescent="0.25">
      <c r="A31" s="49" t="s">
        <v>5</v>
      </c>
    </row>
  </sheetData>
  <sheetProtection algorithmName="SHA-512" hashValue="7INb9G07W6oyV8AI4bAsO6MO+uuonoMv+8q9kqnNVMLgl4ZtzcXEGc1n34IWv0STdvkRTv2yIga15vbiufglGA==" saltValue="QDoMATvOS4gCXP/86rn8DQ==" spinCount="100000" sheet="1" objects="1" scenarios="1"/>
  <protectedRanges>
    <protectedRange sqref="I20:K20 I21 L20:N20 L21" name="Zonă2"/>
    <protectedRange sqref="I12:K12 I13 L12:N12 L13" name="Zonă1"/>
  </protectedRanges>
  <mergeCells count="75">
    <mergeCell ref="A6:K6"/>
    <mergeCell ref="I8:K8"/>
    <mergeCell ref="L8:N8"/>
    <mergeCell ref="A9:C11"/>
    <mergeCell ref="I9:K10"/>
    <mergeCell ref="L9:N10"/>
    <mergeCell ref="D10:H10"/>
    <mergeCell ref="D11:G11"/>
    <mergeCell ref="A12:C12"/>
    <mergeCell ref="D12:E12"/>
    <mergeCell ref="F12:G12"/>
    <mergeCell ref="I16:K16"/>
    <mergeCell ref="L16:N16"/>
    <mergeCell ref="A13:C13"/>
    <mergeCell ref="D13:E13"/>
    <mergeCell ref="F13:G13"/>
    <mergeCell ref="J13:K13"/>
    <mergeCell ref="M13:N13"/>
    <mergeCell ref="A14:C14"/>
    <mergeCell ref="D14:E14"/>
    <mergeCell ref="F14:G14"/>
    <mergeCell ref="I14:K14"/>
    <mergeCell ref="L14:N14"/>
    <mergeCell ref="A15:C15"/>
    <mergeCell ref="D15:E15"/>
    <mergeCell ref="F15:G15"/>
    <mergeCell ref="I15:K15"/>
    <mergeCell ref="L15:N15"/>
    <mergeCell ref="A17:C19"/>
    <mergeCell ref="I17:K18"/>
    <mergeCell ref="L17:N18"/>
    <mergeCell ref="D18:H18"/>
    <mergeCell ref="D19:G19"/>
    <mergeCell ref="A20:C20"/>
    <mergeCell ref="D20:E20"/>
    <mergeCell ref="F20:G20"/>
    <mergeCell ref="A21:C21"/>
    <mergeCell ref="D21:E21"/>
    <mergeCell ref="F21:G21"/>
    <mergeCell ref="I24:K24"/>
    <mergeCell ref="L24:N24"/>
    <mergeCell ref="J21:K21"/>
    <mergeCell ref="M21:N21"/>
    <mergeCell ref="A22:C22"/>
    <mergeCell ref="D22:E22"/>
    <mergeCell ref="F22:G22"/>
    <mergeCell ref="I22:K22"/>
    <mergeCell ref="L22:N22"/>
    <mergeCell ref="A23:C23"/>
    <mergeCell ref="D23:E23"/>
    <mergeCell ref="F23:G23"/>
    <mergeCell ref="I23:K23"/>
    <mergeCell ref="L23:N23"/>
    <mergeCell ref="A25:C27"/>
    <mergeCell ref="I25:K26"/>
    <mergeCell ref="L25:N26"/>
    <mergeCell ref="D26:H26"/>
    <mergeCell ref="D27:G27"/>
    <mergeCell ref="I27:K27"/>
    <mergeCell ref="L27:N27"/>
    <mergeCell ref="A29:C29"/>
    <mergeCell ref="D29:E29"/>
    <mergeCell ref="F29:G29"/>
    <mergeCell ref="I29:K29"/>
    <mergeCell ref="L29:N29"/>
    <mergeCell ref="A28:C28"/>
    <mergeCell ref="D28:E28"/>
    <mergeCell ref="F28:G28"/>
    <mergeCell ref="I28:K28"/>
    <mergeCell ref="L28:N28"/>
    <mergeCell ref="A30:C30"/>
    <mergeCell ref="D30:E30"/>
    <mergeCell ref="F30:G30"/>
    <mergeCell ref="I30:K30"/>
    <mergeCell ref="L30:N3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RowHeight="15" x14ac:dyDescent="0.25"/>
  <cols>
    <col min="2" max="2" width="11.85546875" bestFit="1" customWidth="1"/>
    <col min="6" max="6" width="11" bestFit="1" customWidth="1"/>
    <col min="7" max="7" width="12" bestFit="1" customWidth="1"/>
    <col min="12" max="12" width="12" bestFit="1" customWidth="1"/>
  </cols>
  <sheetData>
    <row r="1" spans="1:12" ht="23.25" x14ac:dyDescent="0.35">
      <c r="A1" s="1" t="s">
        <v>0</v>
      </c>
    </row>
    <row r="2" spans="1:12" x14ac:dyDescent="0.25">
      <c r="A2" s="2" t="s">
        <v>1</v>
      </c>
    </row>
    <row r="4" spans="1:12" ht="20.25" thickBot="1" x14ac:dyDescent="0.35">
      <c r="A4" s="3" t="s">
        <v>29</v>
      </c>
      <c r="B4" s="3"/>
      <c r="C4" s="4"/>
    </row>
    <row r="5" spans="1:12" ht="15.75" thickTop="1" x14ac:dyDescent="0.25"/>
    <row r="6" spans="1:12" ht="15.75" thickBot="1" x14ac:dyDescent="0.3">
      <c r="B6" s="22"/>
      <c r="C6" s="46" t="s">
        <v>14</v>
      </c>
      <c r="D6" s="46"/>
      <c r="E6" s="46"/>
      <c r="F6" s="46"/>
      <c r="G6" s="46"/>
      <c r="H6" s="46" t="s">
        <v>34</v>
      </c>
      <c r="I6" s="46"/>
      <c r="J6" s="46"/>
      <c r="K6" s="46"/>
      <c r="L6" s="46"/>
    </row>
    <row r="7" spans="1:12" ht="15.75" thickBot="1" x14ac:dyDescent="0.3">
      <c r="B7" s="30" t="s">
        <v>70</v>
      </c>
      <c r="C7" s="5" t="s">
        <v>15</v>
      </c>
      <c r="D7" s="6" t="s">
        <v>16</v>
      </c>
      <c r="E7" s="6" t="s">
        <v>20</v>
      </c>
      <c r="F7" s="6" t="s">
        <v>17</v>
      </c>
      <c r="G7" s="7" t="s">
        <v>30</v>
      </c>
      <c r="H7" s="5" t="s">
        <v>15</v>
      </c>
      <c r="I7" s="6" t="s">
        <v>16</v>
      </c>
      <c r="J7" s="6" t="s">
        <v>20</v>
      </c>
      <c r="K7" s="6" t="s">
        <v>17</v>
      </c>
      <c r="L7" s="7" t="s">
        <v>30</v>
      </c>
    </row>
    <row r="8" spans="1:12" x14ac:dyDescent="0.25">
      <c r="B8" s="31" t="s">
        <v>18</v>
      </c>
      <c r="C8" s="20">
        <f>'Meridional Difference'!I12</f>
        <v>2</v>
      </c>
      <c r="D8" s="18">
        <f>'Meridional Difference'!J12/60</f>
        <v>0.25</v>
      </c>
      <c r="E8" s="18">
        <f>'Meridional Difference'!K12/3600</f>
        <v>0</v>
      </c>
      <c r="F8" s="18">
        <f>SUM(C8:E8)</f>
        <v>2.25</v>
      </c>
      <c r="G8" s="19">
        <f>IF('Meridional Difference'!L12="N",F8,F8*(-1))</f>
        <v>-2.25</v>
      </c>
      <c r="H8" s="20">
        <f>'Meridional Difference'!M12</f>
        <v>44</v>
      </c>
      <c r="I8" s="18">
        <f>'Meridional Difference'!N12/60</f>
        <v>0.41666666666666669</v>
      </c>
      <c r="J8" s="18">
        <f>'Meridional Difference'!O12/3600</f>
        <v>0</v>
      </c>
      <c r="K8" s="18">
        <f>SUM(H8:J8)</f>
        <v>44.416666666666664</v>
      </c>
      <c r="L8" s="19">
        <f>IF('Meridional Difference'!P12="N",K8,K8*(-1))</f>
        <v>44.416666666666664</v>
      </c>
    </row>
    <row r="9" spans="1:12" x14ac:dyDescent="0.25">
      <c r="B9" s="32" t="s">
        <v>19</v>
      </c>
      <c r="C9" s="8"/>
      <c r="D9" s="9"/>
      <c r="E9" s="9"/>
      <c r="F9" s="9"/>
      <c r="G9" s="10">
        <f>RADIANS(G8)</f>
        <v>-3.9269908169872414E-2</v>
      </c>
      <c r="H9" s="8"/>
      <c r="I9" s="9"/>
      <c r="J9" s="9"/>
      <c r="K9" s="9"/>
      <c r="L9" s="10">
        <f>RADIANS(L8)</f>
        <v>0.77521707609414803</v>
      </c>
    </row>
    <row r="10" spans="1:12" x14ac:dyDescent="0.25">
      <c r="B10" s="33" t="s">
        <v>25</v>
      </c>
      <c r="C10" s="8"/>
      <c r="D10" s="9"/>
      <c r="E10" s="9"/>
      <c r="F10" s="9"/>
      <c r="G10" s="10">
        <f>SIN(G9)</f>
        <v>-3.925981575906861E-2</v>
      </c>
      <c r="H10" s="8"/>
      <c r="I10" s="9"/>
      <c r="J10" s="9"/>
      <c r="K10" s="9"/>
      <c r="L10" s="10">
        <f>SIN(L9)</f>
        <v>0.69987114258701455</v>
      </c>
    </row>
    <row r="11" spans="1:12" x14ac:dyDescent="0.25">
      <c r="B11" s="34" t="s">
        <v>26</v>
      </c>
      <c r="C11" s="8"/>
      <c r="D11" s="9"/>
      <c r="E11" s="9"/>
      <c r="F11" s="9"/>
      <c r="G11" s="21">
        <f>'Meridional Difference'!I14</f>
        <v>8.1813334016931152E-2</v>
      </c>
      <c r="H11" s="8"/>
      <c r="I11" s="9"/>
      <c r="J11" s="9"/>
      <c r="K11" s="9"/>
      <c r="L11" s="21">
        <f>'Meridional Difference'!M14</f>
        <v>8.1813334016931152E-2</v>
      </c>
    </row>
    <row r="12" spans="1:12" x14ac:dyDescent="0.25">
      <c r="B12" s="34" t="s">
        <v>27</v>
      </c>
      <c r="C12" s="11"/>
      <c r="D12" s="12"/>
      <c r="E12" s="12"/>
      <c r="F12" s="12"/>
      <c r="G12" s="13">
        <f>(45+(G8/2))</f>
        <v>43.875</v>
      </c>
      <c r="H12" s="11"/>
      <c r="I12" s="12"/>
      <c r="J12" s="12"/>
      <c r="K12" s="12"/>
      <c r="L12" s="13">
        <f>(45+(L8/2))</f>
        <v>67.208333333333329</v>
      </c>
    </row>
    <row r="13" spans="1:12" x14ac:dyDescent="0.25">
      <c r="B13" s="34" t="s">
        <v>19</v>
      </c>
      <c r="C13" s="17"/>
      <c r="D13" s="9"/>
      <c r="E13" s="9"/>
      <c r="F13" s="9"/>
      <c r="G13" s="10">
        <f>RADIANS(G12)</f>
        <v>0.76576320931251207</v>
      </c>
      <c r="H13" s="17"/>
      <c r="I13" s="9"/>
      <c r="J13" s="9"/>
      <c r="K13" s="9"/>
      <c r="L13" s="10">
        <f>RADIANS(L12)</f>
        <v>1.1730067014445222</v>
      </c>
    </row>
    <row r="14" spans="1:12" x14ac:dyDescent="0.25">
      <c r="B14" s="35" t="s">
        <v>21</v>
      </c>
      <c r="C14" s="17"/>
      <c r="D14" s="9"/>
      <c r="E14" s="9"/>
      <c r="F14" s="9"/>
      <c r="G14" s="10">
        <f>TAN(G13)</f>
        <v>0.96148145159532838</v>
      </c>
      <c r="H14" s="17"/>
      <c r="I14" s="9"/>
      <c r="J14" s="9"/>
      <c r="K14" s="9"/>
      <c r="L14" s="29">
        <f>TAN(L13)</f>
        <v>2.3798748702432722</v>
      </c>
    </row>
    <row r="15" spans="1:12" x14ac:dyDescent="0.25">
      <c r="B15" s="34" t="s">
        <v>31</v>
      </c>
      <c r="C15" s="17"/>
      <c r="D15" s="9"/>
      <c r="E15" s="9"/>
      <c r="F15" s="9"/>
      <c r="G15" s="10">
        <f>(1-(G11*G10))</f>
        <v>1.0032119764201399</v>
      </c>
      <c r="H15" s="17"/>
      <c r="I15" s="9"/>
      <c r="J15" s="9"/>
      <c r="K15" s="9"/>
      <c r="L15" s="10">
        <f>(1-(L11*L10))</f>
        <v>0.94274120844271736</v>
      </c>
    </row>
    <row r="16" spans="1:12" x14ac:dyDescent="0.25">
      <c r="B16" s="35" t="s">
        <v>32</v>
      </c>
      <c r="C16" s="14"/>
      <c r="D16" s="15"/>
      <c r="E16" s="15"/>
      <c r="F16" s="15"/>
      <c r="G16" s="23">
        <f>(1+(G11*G10))</f>
        <v>0.99678802357986018</v>
      </c>
      <c r="H16" s="14"/>
      <c r="I16" s="15"/>
      <c r="J16" s="15"/>
      <c r="K16" s="15"/>
      <c r="L16" s="23">
        <f>(1+(L11*L10))</f>
        <v>1.0572587915572826</v>
      </c>
    </row>
    <row r="17" spans="2:12" ht="15.75" thickBot="1" x14ac:dyDescent="0.3">
      <c r="B17" s="35" t="s">
        <v>28</v>
      </c>
      <c r="C17" s="8"/>
      <c r="D17" s="16"/>
      <c r="E17" s="16"/>
      <c r="F17" s="16"/>
      <c r="G17" s="24">
        <f>(G11/2)</f>
        <v>4.0906667008465576E-2</v>
      </c>
      <c r="H17" s="8"/>
      <c r="I17" s="16"/>
      <c r="J17" s="16"/>
      <c r="K17" s="16"/>
      <c r="L17" s="24">
        <f>(L11/2)</f>
        <v>4.0906667008465576E-2</v>
      </c>
    </row>
    <row r="18" spans="2:12" ht="15.75" thickBot="1" x14ac:dyDescent="0.3">
      <c r="B18" s="25" t="s">
        <v>74</v>
      </c>
      <c r="C18" s="26"/>
      <c r="D18" s="27"/>
      <c r="E18" s="27"/>
      <c r="F18" s="27"/>
      <c r="G18" s="28">
        <f>(7915.704468)*LOG((G14)*((G15/G16)^G17))</f>
        <v>-134.13132841630801</v>
      </c>
      <c r="H18" s="26"/>
      <c r="I18" s="27"/>
      <c r="J18" s="27"/>
      <c r="K18" s="27"/>
      <c r="L18" s="28">
        <f>(7915.704468)*LOG((L14)*((L15/L16)^L17))</f>
        <v>2964.5692841413393</v>
      </c>
    </row>
    <row r="20" spans="2:12" ht="15.75" thickBot="1" x14ac:dyDescent="0.3">
      <c r="B20" s="36"/>
      <c r="C20" s="46" t="s">
        <v>94</v>
      </c>
      <c r="D20" s="46"/>
      <c r="E20" s="46"/>
      <c r="F20" s="46"/>
      <c r="G20" s="46"/>
      <c r="H20" s="46" t="s">
        <v>95</v>
      </c>
      <c r="I20" s="46"/>
      <c r="J20" s="46"/>
      <c r="K20" s="46"/>
      <c r="L20" s="46"/>
    </row>
    <row r="21" spans="2:12" ht="15.75" thickBot="1" x14ac:dyDescent="0.3">
      <c r="B21" s="30" t="s">
        <v>70</v>
      </c>
      <c r="C21" s="5" t="s">
        <v>15</v>
      </c>
      <c r="D21" s="6" t="s">
        <v>16</v>
      </c>
      <c r="E21" s="6" t="s">
        <v>20</v>
      </c>
      <c r="F21" s="6" t="s">
        <v>17</v>
      </c>
      <c r="G21" s="7" t="s">
        <v>30</v>
      </c>
      <c r="H21" s="5" t="s">
        <v>15</v>
      </c>
      <c r="I21" s="6" t="s">
        <v>16</v>
      </c>
      <c r="J21" s="6" t="s">
        <v>20</v>
      </c>
      <c r="K21" s="6" t="s">
        <v>17</v>
      </c>
      <c r="L21" s="7" t="s">
        <v>30</v>
      </c>
    </row>
    <row r="22" spans="2:12" x14ac:dyDescent="0.25">
      <c r="B22" s="31" t="s">
        <v>18</v>
      </c>
      <c r="C22" s="20">
        <f>'Meridional Difference'!I20</f>
        <v>3</v>
      </c>
      <c r="D22" s="18">
        <f>'Meridional Difference'!J20/60</f>
        <v>0.4</v>
      </c>
      <c r="E22" s="18">
        <f>'Meridional Difference'!K20/3600</f>
        <v>0</v>
      </c>
      <c r="F22" s="18">
        <f>SUM(C22:E22)</f>
        <v>3.4</v>
      </c>
      <c r="G22" s="19">
        <f>IF('Meridional Difference'!L20="N",F22,F22*(-1))</f>
        <v>3.4</v>
      </c>
      <c r="H22" s="20">
        <f>'Meridional Difference'!M20</f>
        <v>43</v>
      </c>
      <c r="I22" s="18">
        <f>'Meridional Difference'!N20/60</f>
        <v>0.3</v>
      </c>
      <c r="J22" s="18">
        <f>'Meridional Difference'!O20/3600</f>
        <v>0</v>
      </c>
      <c r="K22" s="18">
        <f>SUM(H22:J22)</f>
        <v>43.3</v>
      </c>
      <c r="L22" s="19">
        <f>IF('Meridional Difference'!P20="N",K22,K22*(-1))</f>
        <v>43.3</v>
      </c>
    </row>
    <row r="23" spans="2:12" x14ac:dyDescent="0.25">
      <c r="B23" s="32" t="s">
        <v>19</v>
      </c>
      <c r="C23" s="8"/>
      <c r="D23" s="9"/>
      <c r="E23" s="9"/>
      <c r="F23" s="9"/>
      <c r="G23" s="10">
        <f>RADIANS(G22)</f>
        <v>5.9341194567807204E-2</v>
      </c>
      <c r="H23" s="8"/>
      <c r="I23" s="9"/>
      <c r="J23" s="9"/>
      <c r="K23" s="9"/>
      <c r="L23" s="10">
        <f>RADIANS(L22)</f>
        <v>0.75572756611354464</v>
      </c>
    </row>
    <row r="24" spans="2:12" x14ac:dyDescent="0.25">
      <c r="B24" s="33" t="s">
        <v>25</v>
      </c>
      <c r="C24" s="8"/>
      <c r="D24" s="9"/>
      <c r="E24" s="9"/>
      <c r="F24" s="9"/>
      <c r="G24" s="10">
        <f>SIN(G23)</f>
        <v>5.9306373575961621E-2</v>
      </c>
      <c r="H24" s="8"/>
      <c r="I24" s="9"/>
      <c r="J24" s="9"/>
      <c r="K24" s="9"/>
      <c r="L24" s="10">
        <f>SIN(L23)</f>
        <v>0.68581835292737614</v>
      </c>
    </row>
    <row r="25" spans="2:12" x14ac:dyDescent="0.25">
      <c r="B25" s="34" t="s">
        <v>26</v>
      </c>
      <c r="C25" s="8"/>
      <c r="D25" s="9"/>
      <c r="E25" s="9"/>
      <c r="F25" s="9"/>
      <c r="G25" s="21">
        <f>'Meridional Difference'!I22</f>
        <v>8.1813334016931152E-2</v>
      </c>
      <c r="H25" s="8"/>
      <c r="I25" s="9"/>
      <c r="J25" s="9"/>
      <c r="K25" s="9"/>
      <c r="L25" s="21">
        <f>'Meridional Difference'!M22</f>
        <v>8.1813334016931152E-2</v>
      </c>
    </row>
    <row r="26" spans="2:12" x14ac:dyDescent="0.25">
      <c r="B26" s="34" t="s">
        <v>27</v>
      </c>
      <c r="C26" s="11"/>
      <c r="D26" s="12"/>
      <c r="E26" s="12"/>
      <c r="F26" s="12"/>
      <c r="G26" s="13">
        <f>(45+(G22/2))</f>
        <v>46.7</v>
      </c>
      <c r="H26" s="11"/>
      <c r="I26" s="12"/>
      <c r="J26" s="12"/>
      <c r="K26" s="12"/>
      <c r="L26" s="13">
        <f>(45+(L22/2))</f>
        <v>66.650000000000006</v>
      </c>
    </row>
    <row r="27" spans="2:12" x14ac:dyDescent="0.25">
      <c r="B27" s="34" t="s">
        <v>19</v>
      </c>
      <c r="C27" s="17"/>
      <c r="D27" s="9"/>
      <c r="E27" s="9"/>
      <c r="F27" s="9"/>
      <c r="G27" s="10">
        <f>RADIANS(G26)</f>
        <v>0.81506876068135192</v>
      </c>
      <c r="H27" s="17"/>
      <c r="I27" s="9"/>
      <c r="J27" s="9"/>
      <c r="K27" s="9"/>
      <c r="L27" s="10">
        <f>RADIANS(L26)</f>
        <v>1.1632619464542207</v>
      </c>
    </row>
    <row r="28" spans="2:12" x14ac:dyDescent="0.25">
      <c r="B28" s="35" t="s">
        <v>21</v>
      </c>
      <c r="C28" s="17"/>
      <c r="D28" s="9"/>
      <c r="E28" s="9"/>
      <c r="F28" s="9"/>
      <c r="G28" s="10">
        <f>TAN(G27)</f>
        <v>1.0611742228109737</v>
      </c>
      <c r="H28" s="17"/>
      <c r="I28" s="9"/>
      <c r="J28" s="9"/>
      <c r="K28" s="9"/>
      <c r="L28" s="29">
        <f>TAN(L27)</f>
        <v>2.316407608268042</v>
      </c>
    </row>
    <row r="29" spans="2:12" x14ac:dyDescent="0.25">
      <c r="B29" s="34" t="s">
        <v>31</v>
      </c>
      <c r="C29" s="17"/>
      <c r="D29" s="9"/>
      <c r="E29" s="9"/>
      <c r="F29" s="9"/>
      <c r="G29" s="10">
        <f>(1-(G25*G24))</f>
        <v>0.99514794784929694</v>
      </c>
      <c r="H29" s="17"/>
      <c r="I29" s="9"/>
      <c r="J29" s="9"/>
      <c r="K29" s="9"/>
      <c r="L29" s="10">
        <f>(1-(L25*L24))</f>
        <v>0.94389091401701097</v>
      </c>
    </row>
    <row r="30" spans="2:12" x14ac:dyDescent="0.25">
      <c r="B30" s="35" t="s">
        <v>32</v>
      </c>
      <c r="C30" s="14"/>
      <c r="D30" s="15"/>
      <c r="E30" s="15"/>
      <c r="F30" s="15"/>
      <c r="G30" s="23">
        <f>(1+(G25*G24))</f>
        <v>1.0048520521507029</v>
      </c>
      <c r="H30" s="14"/>
      <c r="I30" s="15"/>
      <c r="J30" s="15"/>
      <c r="K30" s="15"/>
      <c r="L30" s="23">
        <f>(1+(L25*L24))</f>
        <v>1.0561090859829889</v>
      </c>
    </row>
    <row r="31" spans="2:12" ht="15.75" thickBot="1" x14ac:dyDescent="0.3">
      <c r="B31" s="35" t="s">
        <v>28</v>
      </c>
      <c r="C31" s="8"/>
      <c r="D31" s="16"/>
      <c r="E31" s="16"/>
      <c r="F31" s="16"/>
      <c r="G31" s="24">
        <f>(G25/2)</f>
        <v>4.0906667008465576E-2</v>
      </c>
      <c r="H31" s="8"/>
      <c r="I31" s="16"/>
      <c r="J31" s="16"/>
      <c r="K31" s="16"/>
      <c r="L31" s="24">
        <f>(L25/2)</f>
        <v>4.0906667008465576E-2</v>
      </c>
    </row>
    <row r="32" spans="2:12" ht="15.75" thickBot="1" x14ac:dyDescent="0.3">
      <c r="B32" s="25" t="s">
        <v>74</v>
      </c>
      <c r="C32" s="26"/>
      <c r="D32" s="27"/>
      <c r="E32" s="27"/>
      <c r="F32" s="27"/>
      <c r="G32" s="28">
        <f>(7915.704468)*LOG((G28)*((G29/G30)^G31))</f>
        <v>202.75516486279159</v>
      </c>
      <c r="H32" s="26"/>
      <c r="I32" s="27"/>
      <c r="J32" s="27"/>
      <c r="K32" s="27"/>
      <c r="L32" s="28">
        <f>(7915.704468)*LOG((L28)*((L29/L30)^L31))</f>
        <v>2871.9701184541195</v>
      </c>
    </row>
    <row r="33" spans="1:12" ht="15.75" thickBot="1" x14ac:dyDescent="0.3"/>
    <row r="34" spans="1:12" ht="15.75" thickBot="1" x14ac:dyDescent="0.3">
      <c r="B34" s="30" t="s">
        <v>70</v>
      </c>
      <c r="C34" s="5" t="s">
        <v>15</v>
      </c>
      <c r="D34" s="6" t="s">
        <v>16</v>
      </c>
      <c r="E34" s="6" t="s">
        <v>20</v>
      </c>
      <c r="F34" s="6" t="s">
        <v>17</v>
      </c>
      <c r="G34" s="7" t="s">
        <v>30</v>
      </c>
      <c r="H34" s="5" t="s">
        <v>15</v>
      </c>
      <c r="I34" s="6" t="s">
        <v>16</v>
      </c>
      <c r="J34" s="6" t="s">
        <v>20</v>
      </c>
      <c r="K34" s="6" t="s">
        <v>17</v>
      </c>
      <c r="L34" s="7" t="s">
        <v>30</v>
      </c>
    </row>
    <row r="35" spans="1:12" x14ac:dyDescent="0.25">
      <c r="B35" s="31" t="s">
        <v>104</v>
      </c>
      <c r="C35" s="14"/>
      <c r="D35" s="39"/>
      <c r="E35" s="39"/>
      <c r="F35" s="39"/>
      <c r="G35" s="40">
        <f>G18</f>
        <v>-134.13132841630801</v>
      </c>
      <c r="H35" s="39"/>
      <c r="I35" s="39"/>
      <c r="J35" s="39"/>
      <c r="K35" s="39"/>
      <c r="L35" s="43">
        <f>L18</f>
        <v>2964.5692841413393</v>
      </c>
    </row>
    <row r="36" spans="1:12" x14ac:dyDescent="0.25">
      <c r="B36" s="35" t="s">
        <v>105</v>
      </c>
      <c r="C36" s="8"/>
      <c r="D36" s="9"/>
      <c r="E36" s="9"/>
      <c r="F36" s="9"/>
      <c r="G36" s="38">
        <f>G32</f>
        <v>202.75516486279159</v>
      </c>
      <c r="H36" s="9"/>
      <c r="I36" s="9"/>
      <c r="J36" s="9"/>
      <c r="K36" s="9"/>
      <c r="L36" s="44">
        <f>L32</f>
        <v>2871.9701184541195</v>
      </c>
    </row>
    <row r="37" spans="1:12" ht="15.75" thickBot="1" x14ac:dyDescent="0.3">
      <c r="B37" s="33" t="s">
        <v>106</v>
      </c>
      <c r="C37" s="11"/>
      <c r="D37" s="12"/>
      <c r="E37" s="12"/>
      <c r="F37" s="12"/>
      <c r="G37" s="41">
        <f>G36-G35</f>
        <v>336.88649327909957</v>
      </c>
      <c r="H37" s="12"/>
      <c r="I37" s="12"/>
      <c r="J37" s="12"/>
      <c r="K37" s="12"/>
      <c r="L37" s="45">
        <f>L36-L35</f>
        <v>-92.599165687219738</v>
      </c>
    </row>
    <row r="38" spans="1:12" ht="15.75" thickBot="1" x14ac:dyDescent="0.3">
      <c r="B38" s="25" t="s">
        <v>107</v>
      </c>
      <c r="C38" s="26"/>
      <c r="D38" s="27"/>
      <c r="E38" s="27"/>
      <c r="F38" s="27"/>
      <c r="G38" s="42">
        <f>ABS(G37)</f>
        <v>336.88649327909957</v>
      </c>
      <c r="H38" s="27"/>
      <c r="I38" s="27"/>
      <c r="J38" s="27"/>
      <c r="K38" s="27"/>
      <c r="L38" s="28">
        <f>ABS(L37)</f>
        <v>92.599165687219738</v>
      </c>
    </row>
    <row r="39" spans="1:12" x14ac:dyDescent="0.25">
      <c r="A39" s="2" t="s">
        <v>5</v>
      </c>
    </row>
  </sheetData>
  <mergeCells count="4">
    <mergeCell ref="C6:G6"/>
    <mergeCell ref="H6:L6"/>
    <mergeCell ref="C20:G20"/>
    <mergeCell ref="H20:L20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RowHeight="15" x14ac:dyDescent="0.25"/>
  <cols>
    <col min="2" max="2" width="11.85546875" bestFit="1" customWidth="1"/>
    <col min="6" max="6" width="11" bestFit="1" customWidth="1"/>
    <col min="7" max="7" width="12" bestFit="1" customWidth="1"/>
    <col min="12" max="12" width="12" bestFit="1" customWidth="1"/>
  </cols>
  <sheetData>
    <row r="1" spans="1:12" ht="23.25" x14ac:dyDescent="0.35">
      <c r="A1" s="1" t="s">
        <v>0</v>
      </c>
    </row>
    <row r="2" spans="1:12" x14ac:dyDescent="0.25">
      <c r="A2" s="2" t="s">
        <v>1</v>
      </c>
    </row>
    <row r="4" spans="1:12" ht="20.25" thickBot="1" x14ac:dyDescent="0.35">
      <c r="A4" s="3" t="s">
        <v>29</v>
      </c>
      <c r="B4" s="3"/>
      <c r="C4" s="4"/>
    </row>
    <row r="5" spans="1:12" ht="15.75" thickTop="1" x14ac:dyDescent="0.25"/>
    <row r="6" spans="1:12" ht="15.75" thickBot="1" x14ac:dyDescent="0.3">
      <c r="B6" s="37"/>
      <c r="C6" s="46" t="s">
        <v>14</v>
      </c>
      <c r="D6" s="46"/>
      <c r="E6" s="46"/>
      <c r="F6" s="46"/>
      <c r="G6" s="46"/>
      <c r="H6" s="46" t="s">
        <v>34</v>
      </c>
      <c r="I6" s="46"/>
      <c r="J6" s="46"/>
      <c r="K6" s="46"/>
      <c r="L6" s="46"/>
    </row>
    <row r="7" spans="1:12" ht="15.75" thickBot="1" x14ac:dyDescent="0.3">
      <c r="B7" s="30" t="s">
        <v>70</v>
      </c>
      <c r="C7" s="5" t="s">
        <v>15</v>
      </c>
      <c r="D7" s="6" t="s">
        <v>16</v>
      </c>
      <c r="E7" s="6" t="s">
        <v>20</v>
      </c>
      <c r="F7" s="6" t="s">
        <v>17</v>
      </c>
      <c r="G7" s="7" t="s">
        <v>30</v>
      </c>
      <c r="H7" s="5" t="s">
        <v>15</v>
      </c>
      <c r="I7" s="6" t="s">
        <v>16</v>
      </c>
      <c r="J7" s="6" t="s">
        <v>20</v>
      </c>
      <c r="K7" s="6" t="s">
        <v>17</v>
      </c>
      <c r="L7" s="7" t="s">
        <v>30</v>
      </c>
    </row>
    <row r="8" spans="1:12" x14ac:dyDescent="0.25">
      <c r="B8" s="31" t="s">
        <v>18</v>
      </c>
      <c r="C8" s="20">
        <f>'Mercator Mile'!I12</f>
        <v>40</v>
      </c>
      <c r="D8" s="18">
        <f>'Mercator Mile'!J12/60</f>
        <v>1.6666666666666666E-2</v>
      </c>
      <c r="E8" s="18">
        <f>'Mercator Mile'!K12/3600</f>
        <v>0</v>
      </c>
      <c r="F8" s="18">
        <f>SUM(C8:E8)</f>
        <v>40.016666666666666</v>
      </c>
      <c r="G8" s="19">
        <f>F8</f>
        <v>40.016666666666666</v>
      </c>
      <c r="H8" s="20">
        <f>'Mercator Mile'!L12</f>
        <v>60</v>
      </c>
      <c r="I8" s="18">
        <f>'Mercator Mile'!M12/60</f>
        <v>1.6666666666666666E-2</v>
      </c>
      <c r="J8" s="18">
        <f>'Mercator Mile'!N12/3600</f>
        <v>0</v>
      </c>
      <c r="K8" s="18">
        <f>SUM(H8:J8)</f>
        <v>60.016666666666666</v>
      </c>
      <c r="L8" s="19">
        <f>K8</f>
        <v>60.016666666666666</v>
      </c>
    </row>
    <row r="9" spans="1:12" x14ac:dyDescent="0.25">
      <c r="B9" s="32" t="s">
        <v>19</v>
      </c>
      <c r="C9" s="8"/>
      <c r="D9" s="9"/>
      <c r="E9" s="9"/>
      <c r="F9" s="9"/>
      <c r="G9" s="10">
        <f>RADIANS(G8)</f>
        <v>0.69842258900639753</v>
      </c>
      <c r="H9" s="8"/>
      <c r="I9" s="9"/>
      <c r="J9" s="9"/>
      <c r="K9" s="9"/>
      <c r="L9" s="10">
        <f>RADIANS(L8)</f>
        <v>1.0474884394052635</v>
      </c>
    </row>
    <row r="10" spans="1:12" x14ac:dyDescent="0.25">
      <c r="B10" s="33" t="s">
        <v>25</v>
      </c>
      <c r="C10" s="8"/>
      <c r="D10" s="9"/>
      <c r="E10" s="9"/>
      <c r="F10" s="9"/>
      <c r="G10" s="10">
        <f>SIN(G9)</f>
        <v>0.64301041578417206</v>
      </c>
      <c r="H10" s="8"/>
      <c r="I10" s="9"/>
      <c r="J10" s="9"/>
      <c r="K10" s="9"/>
      <c r="L10" s="10">
        <f>SIN(L9)</f>
        <v>0.86617081124693951</v>
      </c>
    </row>
    <row r="11" spans="1:12" x14ac:dyDescent="0.25">
      <c r="B11" s="34" t="s">
        <v>26</v>
      </c>
      <c r="C11" s="8"/>
      <c r="D11" s="9"/>
      <c r="E11" s="9"/>
      <c r="F11" s="9"/>
      <c r="G11" s="21">
        <f>'Meridional Difference'!I14</f>
        <v>8.1813334016931152E-2</v>
      </c>
      <c r="H11" s="8"/>
      <c r="I11" s="9"/>
      <c r="J11" s="9"/>
      <c r="K11" s="9"/>
      <c r="L11" s="21">
        <f>'Meridional Difference'!M14</f>
        <v>8.1813334016931152E-2</v>
      </c>
    </row>
    <row r="12" spans="1:12" x14ac:dyDescent="0.25">
      <c r="B12" s="34" t="s">
        <v>27</v>
      </c>
      <c r="C12" s="11"/>
      <c r="D12" s="12"/>
      <c r="E12" s="12"/>
      <c r="F12" s="12"/>
      <c r="G12" s="13">
        <f>(45+(G8/2))</f>
        <v>65.008333333333326</v>
      </c>
      <c r="H12" s="11"/>
      <c r="I12" s="12"/>
      <c r="J12" s="12"/>
      <c r="K12" s="12"/>
      <c r="L12" s="13">
        <f>(45+(L8/2))</f>
        <v>75.008333333333326</v>
      </c>
    </row>
    <row r="13" spans="1:12" x14ac:dyDescent="0.25">
      <c r="B13" s="34" t="s">
        <v>19</v>
      </c>
      <c r="C13" s="17"/>
      <c r="D13" s="9"/>
      <c r="E13" s="9"/>
      <c r="F13" s="9"/>
      <c r="G13" s="10">
        <f>RADIANS(G12)</f>
        <v>1.1346094579006469</v>
      </c>
      <c r="H13" s="17"/>
      <c r="I13" s="9"/>
      <c r="J13" s="9"/>
      <c r="K13" s="9"/>
      <c r="L13" s="10">
        <f>RADIANS(L12)</f>
        <v>1.3091423831000799</v>
      </c>
    </row>
    <row r="14" spans="1:12" x14ac:dyDescent="0.25">
      <c r="B14" s="35" t="s">
        <v>21</v>
      </c>
      <c r="C14" s="17"/>
      <c r="D14" s="9"/>
      <c r="E14" s="9"/>
      <c r="F14" s="9"/>
      <c r="G14" s="10">
        <f>TAN(G13)</f>
        <v>2.1453215030287023</v>
      </c>
      <c r="H14" s="17"/>
      <c r="I14" s="9"/>
      <c r="J14" s="9"/>
      <c r="K14" s="9"/>
      <c r="L14" s="29">
        <f>TAN(L13)</f>
        <v>3.7342232059205447</v>
      </c>
    </row>
    <row r="15" spans="1:12" x14ac:dyDescent="0.25">
      <c r="B15" s="34" t="s">
        <v>31</v>
      </c>
      <c r="C15" s="17"/>
      <c r="D15" s="9"/>
      <c r="E15" s="9"/>
      <c r="F15" s="9"/>
      <c r="G15" s="10">
        <f>(1-(G11*G10))</f>
        <v>0.94739317407708379</v>
      </c>
      <c r="H15" s="17"/>
      <c r="I15" s="9"/>
      <c r="J15" s="9"/>
      <c r="K15" s="9"/>
      <c r="L15" s="10">
        <f>(1-(L11*L10))</f>
        <v>0.92913567810373787</v>
      </c>
    </row>
    <row r="16" spans="1:12" x14ac:dyDescent="0.25">
      <c r="B16" s="35" t="s">
        <v>32</v>
      </c>
      <c r="C16" s="14"/>
      <c r="D16" s="15"/>
      <c r="E16" s="15"/>
      <c r="F16" s="15"/>
      <c r="G16" s="23">
        <f>(1+(G11*G10))</f>
        <v>1.0526068259229162</v>
      </c>
      <c r="H16" s="14"/>
      <c r="I16" s="15"/>
      <c r="J16" s="15"/>
      <c r="K16" s="15"/>
      <c r="L16" s="23">
        <f>(1+(L11*L10))</f>
        <v>1.0708643218962621</v>
      </c>
    </row>
    <row r="17" spans="2:12" ht="15.75" thickBot="1" x14ac:dyDescent="0.3">
      <c r="B17" s="35" t="s">
        <v>28</v>
      </c>
      <c r="C17" s="8"/>
      <c r="D17" s="16"/>
      <c r="E17" s="16"/>
      <c r="F17" s="16"/>
      <c r="G17" s="24">
        <f>(G11/2)</f>
        <v>4.0906667008465576E-2</v>
      </c>
      <c r="H17" s="8"/>
      <c r="I17" s="16"/>
      <c r="J17" s="16"/>
      <c r="K17" s="16"/>
      <c r="L17" s="24">
        <f>(L11/2)</f>
        <v>4.0906667008465576E-2</v>
      </c>
    </row>
    <row r="18" spans="2:12" ht="15.75" thickBot="1" x14ac:dyDescent="0.3">
      <c r="B18" s="25" t="s">
        <v>74</v>
      </c>
      <c r="C18" s="26"/>
      <c r="D18" s="27"/>
      <c r="E18" s="27"/>
      <c r="F18" s="27"/>
      <c r="G18" s="28">
        <f>(7915.704468)*LOG((G14)*((G15/G16)^G17))</f>
        <v>2609.1862324764375</v>
      </c>
      <c r="H18" s="26"/>
      <c r="I18" s="27"/>
      <c r="J18" s="27"/>
      <c r="K18" s="27"/>
      <c r="L18" s="28">
        <f>(7915.704468)*LOG((L14)*((L15/L16)^L17))</f>
        <v>4509.4039577193125</v>
      </c>
    </row>
    <row r="20" spans="2:12" ht="15.75" thickBot="1" x14ac:dyDescent="0.3">
      <c r="B20" s="37"/>
      <c r="C20" s="46" t="s">
        <v>94</v>
      </c>
      <c r="D20" s="46"/>
      <c r="E20" s="46"/>
      <c r="F20" s="46"/>
      <c r="G20" s="46"/>
      <c r="H20" s="46" t="s">
        <v>95</v>
      </c>
      <c r="I20" s="46"/>
      <c r="J20" s="46"/>
      <c r="K20" s="46"/>
      <c r="L20" s="46"/>
    </row>
    <row r="21" spans="2:12" ht="15.75" thickBot="1" x14ac:dyDescent="0.3">
      <c r="B21" s="30" t="s">
        <v>70</v>
      </c>
      <c r="C21" s="5" t="s">
        <v>15</v>
      </c>
      <c r="D21" s="6" t="s">
        <v>16</v>
      </c>
      <c r="E21" s="6" t="s">
        <v>20</v>
      </c>
      <c r="F21" s="6" t="s">
        <v>17</v>
      </c>
      <c r="G21" s="7" t="s">
        <v>30</v>
      </c>
      <c r="H21" s="5" t="s">
        <v>15</v>
      </c>
      <c r="I21" s="6" t="s">
        <v>16</v>
      </c>
      <c r="J21" s="6" t="s">
        <v>20</v>
      </c>
      <c r="K21" s="6" t="s">
        <v>17</v>
      </c>
      <c r="L21" s="7" t="s">
        <v>30</v>
      </c>
    </row>
    <row r="22" spans="2:12" x14ac:dyDescent="0.25">
      <c r="B22" s="31" t="s">
        <v>18</v>
      </c>
      <c r="C22" s="20">
        <f>'Mercator Mile'!I20</f>
        <v>40</v>
      </c>
      <c r="D22" s="18">
        <f>'Mercator Mile'!J20/60</f>
        <v>0</v>
      </c>
      <c r="E22" s="18">
        <f>'Mercator Mile'!K20/3600</f>
        <v>0</v>
      </c>
      <c r="F22" s="18">
        <f>SUM(C22:E22)</f>
        <v>40</v>
      </c>
      <c r="G22" s="19">
        <f>IF('Meridional Difference'!L20="N",F22,F22*(-1))</f>
        <v>40</v>
      </c>
      <c r="H22" s="20">
        <f>'Mercator Mile'!L20</f>
        <v>60</v>
      </c>
      <c r="I22" s="18">
        <f>'Mercator Mile'!M20/60</f>
        <v>0</v>
      </c>
      <c r="J22" s="18">
        <f>'Mercator Mile'!N20/3600</f>
        <v>0</v>
      </c>
      <c r="K22" s="18">
        <f>SUM(H22:J22)</f>
        <v>60</v>
      </c>
      <c r="L22" s="19">
        <f>IF('Meridional Difference'!P20="N",K22,K22*(-1))</f>
        <v>60</v>
      </c>
    </row>
    <row r="23" spans="2:12" x14ac:dyDescent="0.25">
      <c r="B23" s="32" t="s">
        <v>19</v>
      </c>
      <c r="C23" s="8"/>
      <c r="D23" s="9"/>
      <c r="E23" s="9"/>
      <c r="F23" s="9"/>
      <c r="G23" s="10">
        <f>RADIANS(G22)</f>
        <v>0.69813170079773179</v>
      </c>
      <c r="H23" s="8"/>
      <c r="I23" s="9"/>
      <c r="J23" s="9"/>
      <c r="K23" s="9"/>
      <c r="L23" s="10">
        <f>RADIANS(L22)</f>
        <v>1.0471975511965976</v>
      </c>
    </row>
    <row r="24" spans="2:12" x14ac:dyDescent="0.25">
      <c r="B24" s="33" t="s">
        <v>25</v>
      </c>
      <c r="C24" s="8"/>
      <c r="D24" s="9"/>
      <c r="E24" s="9"/>
      <c r="F24" s="9"/>
      <c r="G24" s="10">
        <f>SIN(G23)</f>
        <v>0.64278760968653925</v>
      </c>
      <c r="H24" s="8"/>
      <c r="I24" s="9"/>
      <c r="J24" s="9"/>
      <c r="K24" s="9"/>
      <c r="L24" s="10">
        <f>SIN(L23)</f>
        <v>0.8660254037844386</v>
      </c>
    </row>
    <row r="25" spans="2:12" x14ac:dyDescent="0.25">
      <c r="B25" s="34" t="s">
        <v>26</v>
      </c>
      <c r="C25" s="8"/>
      <c r="D25" s="9"/>
      <c r="E25" s="9"/>
      <c r="F25" s="9"/>
      <c r="G25" s="21">
        <f>'Meridional Difference'!I22</f>
        <v>8.1813334016931152E-2</v>
      </c>
      <c r="H25" s="8"/>
      <c r="I25" s="9"/>
      <c r="J25" s="9"/>
      <c r="K25" s="9"/>
      <c r="L25" s="21">
        <f>'Meridional Difference'!M22</f>
        <v>8.1813334016931152E-2</v>
      </c>
    </row>
    <row r="26" spans="2:12" x14ac:dyDescent="0.25">
      <c r="B26" s="34" t="s">
        <v>27</v>
      </c>
      <c r="C26" s="11"/>
      <c r="D26" s="12"/>
      <c r="E26" s="12"/>
      <c r="F26" s="12"/>
      <c r="G26" s="13">
        <f>(45+(G22/2))</f>
        <v>65</v>
      </c>
      <c r="H26" s="11"/>
      <c r="I26" s="12"/>
      <c r="J26" s="12"/>
      <c r="K26" s="12"/>
      <c r="L26" s="13">
        <f>(45+(L22/2))</f>
        <v>75</v>
      </c>
    </row>
    <row r="27" spans="2:12" x14ac:dyDescent="0.25">
      <c r="B27" s="34" t="s">
        <v>19</v>
      </c>
      <c r="C27" s="17"/>
      <c r="D27" s="9"/>
      <c r="E27" s="9"/>
      <c r="F27" s="9"/>
      <c r="G27" s="10">
        <f>RADIANS(G26)</f>
        <v>1.1344640137963142</v>
      </c>
      <c r="H27" s="17"/>
      <c r="I27" s="9"/>
      <c r="J27" s="9"/>
      <c r="K27" s="9"/>
      <c r="L27" s="10">
        <f>RADIANS(L26)</f>
        <v>1.3089969389957472</v>
      </c>
    </row>
    <row r="28" spans="2:12" x14ac:dyDescent="0.25">
      <c r="B28" s="35" t="s">
        <v>21</v>
      </c>
      <c r="C28" s="17"/>
      <c r="D28" s="9"/>
      <c r="E28" s="9"/>
      <c r="F28" s="9"/>
      <c r="G28" s="10">
        <f>TAN(G27)</f>
        <v>2.1445069205095586</v>
      </c>
      <c r="H28" s="17"/>
      <c r="I28" s="9"/>
      <c r="J28" s="9"/>
      <c r="K28" s="9"/>
      <c r="L28" s="29">
        <f>TAN(L27)</f>
        <v>3.7320508075688776</v>
      </c>
    </row>
    <row r="29" spans="2:12" x14ac:dyDescent="0.25">
      <c r="B29" s="34" t="s">
        <v>31</v>
      </c>
      <c r="C29" s="17"/>
      <c r="D29" s="9"/>
      <c r="E29" s="9"/>
      <c r="F29" s="9"/>
      <c r="G29" s="10">
        <f>(1-(G25*G24))</f>
        <v>0.94741140258677037</v>
      </c>
      <c r="H29" s="17"/>
      <c r="I29" s="9"/>
      <c r="J29" s="9"/>
      <c r="K29" s="9"/>
      <c r="L29" s="10">
        <f>(1-(L25*L24))</f>
        <v>0.92914757437303608</v>
      </c>
    </row>
    <row r="30" spans="2:12" x14ac:dyDescent="0.25">
      <c r="B30" s="35" t="s">
        <v>32</v>
      </c>
      <c r="C30" s="14"/>
      <c r="D30" s="15"/>
      <c r="E30" s="15"/>
      <c r="F30" s="15"/>
      <c r="G30" s="23">
        <f>(1+(G25*G24))</f>
        <v>1.0525885974132296</v>
      </c>
      <c r="H30" s="14"/>
      <c r="I30" s="15"/>
      <c r="J30" s="15"/>
      <c r="K30" s="15"/>
      <c r="L30" s="23">
        <f>(1+(L25*L24))</f>
        <v>1.070852425626964</v>
      </c>
    </row>
    <row r="31" spans="2:12" ht="15.75" thickBot="1" x14ac:dyDescent="0.3">
      <c r="B31" s="35" t="s">
        <v>28</v>
      </c>
      <c r="C31" s="8"/>
      <c r="D31" s="16"/>
      <c r="E31" s="16"/>
      <c r="F31" s="16"/>
      <c r="G31" s="24">
        <f>(G25/2)</f>
        <v>4.0906667008465576E-2</v>
      </c>
      <c r="H31" s="8"/>
      <c r="I31" s="16"/>
      <c r="J31" s="16"/>
      <c r="K31" s="16"/>
      <c r="L31" s="24">
        <f>(L25/2)</f>
        <v>4.0906667008465576E-2</v>
      </c>
    </row>
    <row r="32" spans="2:12" ht="15.75" thickBot="1" x14ac:dyDescent="0.3">
      <c r="B32" s="25" t="s">
        <v>74</v>
      </c>
      <c r="C32" s="26"/>
      <c r="D32" s="27"/>
      <c r="E32" s="27"/>
      <c r="F32" s="27"/>
      <c r="G32" s="28">
        <f>(7915.704468)*LOG((G28)*((G29/G30)^G31))</f>
        <v>2607.8858068835375</v>
      </c>
      <c r="H32" s="26"/>
      <c r="I32" s="27"/>
      <c r="J32" s="27"/>
      <c r="K32" s="27"/>
      <c r="L32" s="28">
        <f>(7915.704468)*LOG((L28)*((L29/L30)^L31))</f>
        <v>4507.4068164403561</v>
      </c>
    </row>
    <row r="33" spans="1:12" ht="15.75" thickBot="1" x14ac:dyDescent="0.3"/>
    <row r="34" spans="1:12" ht="15.75" thickBot="1" x14ac:dyDescent="0.3">
      <c r="B34" s="30" t="s">
        <v>70</v>
      </c>
      <c r="C34" s="5" t="s">
        <v>15</v>
      </c>
      <c r="D34" s="6" t="s">
        <v>16</v>
      </c>
      <c r="E34" s="6" t="s">
        <v>20</v>
      </c>
      <c r="F34" s="6" t="s">
        <v>17</v>
      </c>
      <c r="G34" s="7" t="s">
        <v>30</v>
      </c>
      <c r="H34" s="5" t="s">
        <v>15</v>
      </c>
      <c r="I34" s="6" t="s">
        <v>16</v>
      </c>
      <c r="J34" s="6" t="s">
        <v>20</v>
      </c>
      <c r="K34" s="6" t="s">
        <v>17</v>
      </c>
      <c r="L34" s="7" t="s">
        <v>30</v>
      </c>
    </row>
    <row r="35" spans="1:12" x14ac:dyDescent="0.25">
      <c r="B35" s="31" t="s">
        <v>104</v>
      </c>
      <c r="C35" s="14"/>
      <c r="D35" s="39"/>
      <c r="E35" s="39"/>
      <c r="F35" s="39"/>
      <c r="G35" s="40">
        <f>G18</f>
        <v>2609.1862324764375</v>
      </c>
      <c r="H35" s="39"/>
      <c r="I35" s="39"/>
      <c r="J35" s="39"/>
      <c r="K35" s="39"/>
      <c r="L35" s="43">
        <f>L18</f>
        <v>4509.4039577193125</v>
      </c>
    </row>
    <row r="36" spans="1:12" x14ac:dyDescent="0.25">
      <c r="B36" s="35" t="s">
        <v>105</v>
      </c>
      <c r="C36" s="8"/>
      <c r="D36" s="9"/>
      <c r="E36" s="9"/>
      <c r="F36" s="9"/>
      <c r="G36" s="38">
        <f>G32</f>
        <v>2607.8858068835375</v>
      </c>
      <c r="H36" s="9"/>
      <c r="I36" s="9"/>
      <c r="J36" s="9"/>
      <c r="K36" s="9"/>
      <c r="L36" s="44">
        <f>L32</f>
        <v>4507.4068164403561</v>
      </c>
    </row>
    <row r="37" spans="1:12" ht="15.75" thickBot="1" x14ac:dyDescent="0.3">
      <c r="B37" s="33" t="s">
        <v>106</v>
      </c>
      <c r="C37" s="11"/>
      <c r="D37" s="12"/>
      <c r="E37" s="12"/>
      <c r="F37" s="12"/>
      <c r="G37" s="41">
        <f>G36-G35</f>
        <v>-1.3004255928999555</v>
      </c>
      <c r="H37" s="12"/>
      <c r="I37" s="12"/>
      <c r="J37" s="12"/>
      <c r="K37" s="12"/>
      <c r="L37" s="45">
        <f>L36-L35</f>
        <v>-1.9971412789564056</v>
      </c>
    </row>
    <row r="38" spans="1:12" ht="15.75" thickBot="1" x14ac:dyDescent="0.3">
      <c r="B38" s="25" t="s">
        <v>107</v>
      </c>
      <c r="C38" s="26"/>
      <c r="D38" s="27"/>
      <c r="E38" s="27"/>
      <c r="F38" s="27"/>
      <c r="G38" s="42">
        <f>ABS(G37)</f>
        <v>1.3004255928999555</v>
      </c>
      <c r="H38" s="27"/>
      <c r="I38" s="27"/>
      <c r="J38" s="27"/>
      <c r="K38" s="27"/>
      <c r="L38" s="28">
        <f>ABS(L37)</f>
        <v>1.9971412789564056</v>
      </c>
    </row>
    <row r="39" spans="1:12" x14ac:dyDescent="0.25">
      <c r="A39" s="2" t="s">
        <v>5</v>
      </c>
    </row>
  </sheetData>
  <mergeCells count="4">
    <mergeCell ref="C6:G6"/>
    <mergeCell ref="H6:L6"/>
    <mergeCell ref="C20:G20"/>
    <mergeCell ref="H20:L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Introduction</vt:lpstr>
      <vt:lpstr>Meridional Difference</vt:lpstr>
      <vt:lpstr>Mercator Mile</vt:lpstr>
      <vt:lpstr>Calculations</vt:lpstr>
      <vt:lpstr>Calculations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2017-06-08T16:30:54Z</cp:lastPrinted>
  <dcterms:created xsi:type="dcterms:W3CDTF">2017-05-24T08:23:59Z</dcterms:created>
  <dcterms:modified xsi:type="dcterms:W3CDTF">2017-06-10T14:52:05Z</dcterms:modified>
</cp:coreProperties>
</file>