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in\Documents\CREATE WORDPRESS\FLAGGAFF\Flag Gaff _ Maritime Navigation using Excel _ v1.0\"/>
    </mc:Choice>
  </mc:AlternateContent>
  <bookViews>
    <workbookView xWindow="0" yWindow="0" windowWidth="20490" windowHeight="7905" tabRatio="946"/>
  </bookViews>
  <sheets>
    <sheet name="Departure East - West" sheetId="1" r:id="rId1"/>
    <sheet name="Departure Calculation" sheetId="8" r:id="rId2"/>
    <sheet name="Calculations" sheetId="9" state="hidden" r:id="rId3"/>
  </sheets>
  <calcPr calcId="171027"/>
</workbook>
</file>

<file path=xl/calcChain.xml><?xml version="1.0" encoding="utf-8"?>
<calcChain xmlns="http://schemas.openxmlformats.org/spreadsheetml/2006/main">
  <c r="K15" i="9" l="1"/>
  <c r="J15" i="9"/>
  <c r="K5" i="9"/>
  <c r="J5" i="9"/>
  <c r="K4" i="9"/>
  <c r="J4" i="9"/>
  <c r="L4" i="9" s="1"/>
  <c r="M4" i="9" s="1"/>
  <c r="D15" i="9"/>
  <c r="C15" i="9"/>
  <c r="D5" i="9"/>
  <c r="D4" i="9"/>
  <c r="C5" i="9"/>
  <c r="E5" i="9" s="1"/>
  <c r="F5" i="9" s="1"/>
  <c r="C4" i="9"/>
  <c r="L15" i="9" l="1"/>
  <c r="M15" i="9" s="1"/>
  <c r="M16" i="9" s="1"/>
  <c r="M17" i="9" s="1"/>
  <c r="M18" i="9" s="1"/>
  <c r="I26" i="8" s="1"/>
  <c r="E4" i="9"/>
  <c r="F4" i="9" s="1"/>
  <c r="F6" i="9" s="1"/>
  <c r="F7" i="9" s="1"/>
  <c r="E15" i="9"/>
  <c r="F15" i="9" s="1"/>
  <c r="F16" i="9" s="1"/>
  <c r="F17" i="9" s="1"/>
  <c r="F18" i="9" s="1"/>
  <c r="I15" i="8" s="1"/>
  <c r="L5" i="9"/>
  <c r="M5" i="9" s="1"/>
  <c r="M6" i="9" s="1"/>
  <c r="M7" i="9" s="1"/>
  <c r="J11" i="8" l="1"/>
  <c r="J12" i="8" s="1"/>
  <c r="J13" i="8" s="1"/>
  <c r="J22" i="8"/>
  <c r="J23" i="8" s="1"/>
  <c r="J24" i="8" s="1"/>
  <c r="M10" i="9"/>
  <c r="J9" i="9"/>
  <c r="H22" i="8" s="1"/>
  <c r="F10" i="9"/>
  <c r="C9" i="9"/>
  <c r="H11" i="8" s="1"/>
  <c r="J27" i="8" l="1"/>
  <c r="J12" i="9"/>
  <c r="H23" i="8" s="1"/>
  <c r="K8" i="9"/>
  <c r="K9" i="9" s="1"/>
  <c r="I22" i="8" s="1"/>
  <c r="J16" i="8"/>
  <c r="C12" i="9"/>
  <c r="H12" i="8" s="1"/>
  <c r="D8" i="9"/>
  <c r="D9" i="9" s="1"/>
  <c r="I11" i="8" s="1"/>
  <c r="D11" i="9" l="1"/>
  <c r="D12" i="9" s="1"/>
  <c r="I12" i="8" s="1"/>
  <c r="I13" i="8" s="1"/>
  <c r="K11" i="9"/>
  <c r="K12" i="9" s="1"/>
  <c r="I23" i="8" s="1"/>
  <c r="I24" i="8" s="1"/>
  <c r="K13" i="9" l="1"/>
  <c r="L13" i="9" s="1"/>
  <c r="M13" i="9" s="1"/>
  <c r="M14" i="9" s="1"/>
  <c r="M19" i="9" s="1"/>
  <c r="I27" i="8"/>
  <c r="I16" i="8"/>
  <c r="D13" i="9"/>
  <c r="E13" i="9" s="1"/>
  <c r="F13" i="9" s="1"/>
  <c r="F14" i="9" s="1"/>
  <c r="F19" i="9" s="1"/>
</calcChain>
</file>

<file path=xl/comments1.xml><?xml version="1.0" encoding="utf-8"?>
<comments xmlns="http://schemas.openxmlformats.org/spreadsheetml/2006/main">
  <authors>
    <author>Sorin Stamate</author>
  </authors>
  <commentList>
    <comment ref="F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23.</t>
        </r>
      </text>
    </comment>
    <comment ref="F1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[∆λ] can not
be &gt; 180°, E or W</t>
        </r>
      </text>
    </comment>
    <comment ref="J1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[∆λ] is given by the direction of travel of the vessel, E or W.</t>
        </r>
      </text>
    </comment>
    <comment ref="J1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If (∆λ&gt;180°), then subtract the result from 360° and change the name of longitude difference
</t>
        </r>
      </text>
    </comment>
    <comment ref="F1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23.</t>
        </r>
      </text>
    </comment>
    <comment ref="F2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[∆λ] can not
be &gt; 180°, E or W</t>
        </r>
      </text>
    </comment>
    <comment ref="J2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name of [∆λ] is given by the direction of travel of the vessel, E or W.</t>
        </r>
      </text>
    </comment>
    <comment ref="J2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If (∆λ&gt;180°), then subtract the result from 360° and change the name of longitude difference
</t>
        </r>
      </text>
    </comment>
  </commentList>
</comments>
</file>

<file path=xl/sharedStrings.xml><?xml version="1.0" encoding="utf-8"?>
<sst xmlns="http://schemas.openxmlformats.org/spreadsheetml/2006/main" count="119" uniqueCount="56">
  <si>
    <t>=</t>
  </si>
  <si>
    <t>Degrees</t>
  </si>
  <si>
    <t>Minutes</t>
  </si>
  <si>
    <t>N</t>
  </si>
  <si>
    <t>Min&amp;Dec</t>
  </si>
  <si>
    <t>Sum</t>
  </si>
  <si>
    <t>Sign</t>
  </si>
  <si>
    <t>E</t>
  </si>
  <si>
    <t>∆λ</t>
  </si>
  <si>
    <t>λ₂</t>
  </si>
  <si>
    <t>- λ₁</t>
  </si>
  <si>
    <t>If ∆λ&gt;180°</t>
  </si>
  <si>
    <t>∆λ*cos ϕ</t>
  </si>
  <si>
    <t>where:</t>
  </si>
  <si>
    <t>The Difference in Longitude:</t>
  </si>
  <si>
    <t>Departure East - West:</t>
  </si>
  <si>
    <t>the difference in longitude</t>
  </si>
  <si>
    <t>latitude</t>
  </si>
  <si>
    <t>Example 1</t>
  </si>
  <si>
    <t>Example 2</t>
  </si>
  <si>
    <t>Hemisphere</t>
  </si>
  <si>
    <t>Initial Longitude of departure point</t>
  </si>
  <si>
    <t>w</t>
  </si>
  <si>
    <t>Departure East - West</t>
  </si>
  <si>
    <t>ϕ</t>
  </si>
  <si>
    <t>Radians</t>
  </si>
  <si>
    <r>
      <t xml:space="preserve">Cos </t>
    </r>
    <r>
      <rPr>
        <sz val="11"/>
        <color indexed="8"/>
        <rFont val="Calibri"/>
        <family val="2"/>
        <charset val="238"/>
      </rPr>
      <t>ϕ</t>
    </r>
  </si>
  <si>
    <t>∆λ Final</t>
  </si>
  <si>
    <t>Latitude</t>
  </si>
  <si>
    <r>
      <t xml:space="preserve">cos </t>
    </r>
    <r>
      <rPr>
        <b/>
        <sz val="11"/>
        <color indexed="8"/>
        <rFont val="Calibri"/>
        <family val="2"/>
        <charset val="238"/>
      </rPr>
      <t>ϕ</t>
    </r>
  </si>
  <si>
    <t>If (∆λ &gt; 180°), then subtract the result from 360°</t>
  </si>
  <si>
    <t>e = ∆λ*cosϕ</t>
  </si>
  <si>
    <r>
      <t xml:space="preserve">[ </t>
    </r>
    <r>
      <rPr>
        <b/>
        <sz val="11"/>
        <color theme="1"/>
        <rFont val="Calibri"/>
        <family val="2"/>
        <charset val="238"/>
      </rPr>
      <t>° ]</t>
    </r>
  </si>
  <si>
    <t>[ '.0]</t>
  </si>
  <si>
    <t>Final Longitude of arrival point</t>
  </si>
  <si>
    <t>DEPARTURE EST - WEST</t>
  </si>
  <si>
    <t>1. Departure East - West:</t>
  </si>
  <si>
    <t>( e )</t>
  </si>
  <si>
    <t>e</t>
  </si>
  <si>
    <t>∆λ * cos ϕ</t>
  </si>
  <si>
    <r>
      <t xml:space="preserve">( </t>
    </r>
    <r>
      <rPr>
        <b/>
        <sz val="11"/>
        <color theme="1"/>
        <rFont val="Calibri"/>
        <family val="2"/>
        <charset val="238"/>
      </rPr>
      <t>∆λ )</t>
    </r>
  </si>
  <si>
    <r>
      <t xml:space="preserve">( </t>
    </r>
    <r>
      <rPr>
        <b/>
        <sz val="11"/>
        <color theme="1"/>
        <rFont val="Calibri"/>
        <family val="2"/>
        <charset val="238"/>
      </rPr>
      <t>ϕ )</t>
    </r>
  </si>
  <si>
    <t>360° - ∆λ</t>
  </si>
  <si>
    <r>
      <t xml:space="preserve">cos </t>
    </r>
    <r>
      <rPr>
        <b/>
        <sz val="11"/>
        <color theme="1"/>
        <rFont val="Calibri"/>
        <family val="2"/>
        <charset val="238"/>
      </rPr>
      <t>ϕ</t>
    </r>
  </si>
  <si>
    <t xml:space="preserve">e  </t>
  </si>
  <si>
    <t>Departure East - West [in Nautical Miles]</t>
  </si>
  <si>
    <t>∆λ Final [in minutes]</t>
  </si>
  <si>
    <t>Flag Gaff</t>
  </si>
  <si>
    <t>Maritime Navigation using Excel</t>
  </si>
  <si>
    <t>[in Nautical Miles]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</si>
  <si>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</si>
  <si>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(To be filled only in YELLOW cells)</t>
  </si>
  <si>
    <t xml:space="preserve">The distance in nautical miles measured on the parallel of average latitude, between the meridian of departure point and </t>
  </si>
  <si>
    <t>the meridian of arrival point, in the navigation on the rhumb line.</t>
  </si>
  <si>
    <t>Is the distance traveled by ship on a parallel between two points of the same latitude.</t>
  </si>
  <si>
    <t>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</si>
</sst>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u val="double"/>
      <sz val="18"/>
      <color theme="3"/>
      <name val="Calibri Light"/>
      <family val="2"/>
      <charset val="238"/>
      <scheme val="major"/>
    </font>
    <font>
      <i/>
      <sz val="11"/>
      <color rgb="FFFF0000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</font>
    <font>
      <i/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30" applyNumberFormat="0" applyFill="0" applyAlignment="0" applyProtection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0" fillId="0" borderId="0" xfId="0" applyBorder="1"/>
    <xf numFmtId="0" fontId="8" fillId="2" borderId="9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7" xfId="0" applyBorder="1"/>
    <xf numFmtId="0" fontId="0" fillId="0" borderId="8" xfId="0" applyBorder="1"/>
    <xf numFmtId="164" fontId="0" fillId="0" borderId="2" xfId="0" applyNumberFormat="1" applyBorder="1"/>
    <xf numFmtId="164" fontId="0" fillId="0" borderId="1" xfId="0" applyNumberFormat="1" applyBorder="1"/>
    <xf numFmtId="0" fontId="0" fillId="0" borderId="25" xfId="0" applyBorder="1"/>
    <xf numFmtId="0" fontId="0" fillId="0" borderId="9" xfId="0" applyBorder="1"/>
    <xf numFmtId="164" fontId="0" fillId="0" borderId="3" xfId="0" applyNumberFormat="1" applyBorder="1"/>
    <xf numFmtId="164" fontId="0" fillId="0" borderId="5" xfId="0" applyNumberFormat="1" applyBorder="1"/>
    <xf numFmtId="0" fontId="0" fillId="0" borderId="20" xfId="0" applyBorder="1"/>
    <xf numFmtId="0" fontId="8" fillId="4" borderId="13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0" fillId="5" borderId="9" xfId="0" applyFill="1" applyBorder="1"/>
    <xf numFmtId="0" fontId="0" fillId="5" borderId="7" xfId="0" applyFill="1" applyBorder="1"/>
    <xf numFmtId="164" fontId="0" fillId="5" borderId="8" xfId="0" applyNumberFormat="1" applyFill="1" applyBorder="1"/>
    <xf numFmtId="0" fontId="9" fillId="0" borderId="27" xfId="0" applyFont="1" applyBorder="1" applyAlignment="1">
      <alignment horizontal="center"/>
    </xf>
    <xf numFmtId="0" fontId="10" fillId="5" borderId="19" xfId="0" applyFont="1" applyFill="1" applyBorder="1" applyAlignment="1">
      <alignment horizontal="center"/>
    </xf>
    <xf numFmtId="0" fontId="14" fillId="0" borderId="0" xfId="2" applyFont="1" applyProtection="1">
      <protection hidden="1"/>
    </xf>
    <xf numFmtId="0" fontId="0" fillId="0" borderId="0" xfId="0" applyProtection="1">
      <protection hidden="1"/>
    </xf>
    <xf numFmtId="0" fontId="15" fillId="0" borderId="0" xfId="0" applyFont="1" applyProtection="1">
      <protection hidden="1"/>
    </xf>
    <xf numFmtId="0" fontId="12" fillId="0" borderId="0" xfId="2" applyFont="1" applyAlignment="1" applyProtection="1">
      <alignment horizontal="center"/>
      <protection hidden="1"/>
    </xf>
    <xf numFmtId="0" fontId="7" fillId="0" borderId="30" xfId="3" applyProtection="1">
      <protection hidden="1"/>
    </xf>
    <xf numFmtId="0" fontId="9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4" borderId="17" xfId="0" applyFont="1" applyFill="1" applyBorder="1" applyAlignment="1" applyProtection="1">
      <alignment horizontal="center"/>
      <protection hidden="1"/>
    </xf>
    <xf numFmtId="0" fontId="8" fillId="4" borderId="18" xfId="0" applyFont="1" applyFill="1" applyBorder="1" applyAlignment="1" applyProtection="1">
      <alignment horizontal="center"/>
      <protection hidden="1"/>
    </xf>
    <xf numFmtId="0" fontId="10" fillId="4" borderId="18" xfId="0" applyFont="1" applyFill="1" applyBorder="1" applyAlignment="1" applyProtection="1">
      <alignment horizontal="center"/>
      <protection hidden="1"/>
    </xf>
    <xf numFmtId="0" fontId="10" fillId="4" borderId="21" xfId="0" applyFont="1" applyFill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5" fillId="0" borderId="0" xfId="1" applyAlignment="1" applyProtection="1">
      <alignment horizontal="center"/>
      <protection hidden="1"/>
    </xf>
    <xf numFmtId="0" fontId="13" fillId="0" borderId="0" xfId="1" applyFont="1" applyAlignment="1" applyProtection="1">
      <protection hidden="1"/>
    </xf>
    <xf numFmtId="0" fontId="8" fillId="2" borderId="37" xfId="0" applyFont="1" applyFill="1" applyBorder="1" applyProtection="1">
      <protection hidden="1"/>
    </xf>
    <xf numFmtId="0" fontId="8" fillId="2" borderId="38" xfId="0" applyFont="1" applyFill="1" applyBorder="1" applyProtection="1">
      <protection hidden="1"/>
    </xf>
    <xf numFmtId="0" fontId="8" fillId="2" borderId="39" xfId="0" applyFont="1" applyFill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/>
      <protection hidden="1"/>
    </xf>
    <xf numFmtId="0" fontId="9" fillId="2" borderId="18" xfId="0" applyFont="1" applyFill="1" applyBorder="1" applyAlignment="1" applyProtection="1">
      <alignment horizontal="center"/>
      <protection hidden="1"/>
    </xf>
    <xf numFmtId="0" fontId="9" fillId="2" borderId="21" xfId="0" applyFont="1" applyFill="1" applyBorder="1" applyAlignment="1" applyProtection="1">
      <alignment horizontal="center"/>
      <protection hidden="1"/>
    </xf>
    <xf numFmtId="0" fontId="10" fillId="4" borderId="19" xfId="0" applyFont="1" applyFill="1" applyBorder="1" applyAlignment="1" applyProtection="1">
      <alignment horizontal="center"/>
      <protection hidden="1"/>
    </xf>
    <xf numFmtId="0" fontId="8" fillId="2" borderId="18" xfId="0" applyFont="1" applyFill="1" applyBorder="1" applyAlignment="1" applyProtection="1">
      <alignment horizontal="center"/>
      <protection hidden="1"/>
    </xf>
    <xf numFmtId="0" fontId="8" fillId="2" borderId="40" xfId="0" applyFont="1" applyFill="1" applyBorder="1" applyAlignment="1" applyProtection="1">
      <alignment horizontal="center"/>
      <protection hidden="1"/>
    </xf>
    <xf numFmtId="0" fontId="8" fillId="2" borderId="6" xfId="0" applyFont="1" applyFill="1" applyBorder="1" applyAlignment="1" applyProtection="1">
      <alignment horizontal="center"/>
      <protection hidden="1"/>
    </xf>
    <xf numFmtId="0" fontId="8" fillId="2" borderId="41" xfId="0" applyFont="1" applyFill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left"/>
      <protection hidden="1"/>
    </xf>
    <xf numFmtId="0" fontId="0" fillId="0" borderId="15" xfId="0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left"/>
      <protection hidden="1"/>
    </xf>
    <xf numFmtId="0" fontId="10" fillId="4" borderId="12" xfId="0" applyFont="1" applyFill="1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3" borderId="42" xfId="0" applyFill="1" applyBorder="1" applyProtection="1">
      <protection hidden="1"/>
    </xf>
    <xf numFmtId="164" fontId="0" fillId="3" borderId="15" xfId="0" applyNumberFormat="1" applyFill="1" applyBorder="1" applyProtection="1">
      <protection hidden="1"/>
    </xf>
    <xf numFmtId="0" fontId="0" fillId="3" borderId="43" xfId="0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29" xfId="0" applyBorder="1" applyAlignment="1" applyProtection="1">
      <alignment horizontal="left"/>
      <protection hidden="1"/>
    </xf>
    <xf numFmtId="49" fontId="10" fillId="4" borderId="13" xfId="0" applyNumberFormat="1" applyFont="1" applyFill="1" applyBorder="1" applyAlignment="1" applyProtection="1">
      <alignment horizontal="center"/>
      <protection hidden="1"/>
    </xf>
    <xf numFmtId="0" fontId="0" fillId="0" borderId="32" xfId="0" applyBorder="1" applyAlignment="1" applyProtection="1">
      <alignment horizontal="center"/>
      <protection hidden="1"/>
    </xf>
    <xf numFmtId="0" fontId="0" fillId="3" borderId="44" xfId="0" applyFill="1" applyBorder="1" applyProtection="1">
      <protection hidden="1"/>
    </xf>
    <xf numFmtId="164" fontId="0" fillId="3" borderId="1" xfId="0" applyNumberFormat="1" applyFill="1" applyBorder="1" applyProtection="1">
      <protection hidden="1"/>
    </xf>
    <xf numFmtId="0" fontId="0" fillId="3" borderId="45" xfId="0" applyFill="1" applyBorder="1" applyAlignment="1" applyProtection="1">
      <alignment horizontal="center"/>
      <protection hidden="1"/>
    </xf>
    <xf numFmtId="0" fontId="10" fillId="4" borderId="13" xfId="0" applyFont="1" applyFill="1" applyBorder="1" applyAlignment="1" applyProtection="1">
      <alignment horizontal="center"/>
      <protection hidden="1"/>
    </xf>
    <xf numFmtId="0" fontId="0" fillId="0" borderId="44" xfId="0" applyFont="1" applyBorder="1" applyProtection="1">
      <protection hidden="1"/>
    </xf>
    <xf numFmtId="164" fontId="0" fillId="0" borderId="1" xfId="0" applyNumberFormat="1" applyFont="1" applyBorder="1" applyProtection="1">
      <protection hidden="1"/>
    </xf>
    <xf numFmtId="0" fontId="0" fillId="0" borderId="45" xfId="0" applyFont="1" applyBorder="1" applyAlignment="1" applyProtection="1">
      <alignment horizontal="center"/>
      <protection hidden="1"/>
    </xf>
    <xf numFmtId="0" fontId="0" fillId="0" borderId="32" xfId="0" applyFill="1" applyBorder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left"/>
      <protection hidden="1"/>
    </xf>
    <xf numFmtId="0" fontId="0" fillId="3" borderId="1" xfId="0" applyFill="1" applyBorder="1" applyProtection="1">
      <protection hidden="1"/>
    </xf>
    <xf numFmtId="0" fontId="8" fillId="4" borderId="13" xfId="0" applyFont="1" applyFill="1" applyBorder="1" applyAlignment="1" applyProtection="1">
      <alignment horizontal="center"/>
      <protection hidden="1"/>
    </xf>
    <xf numFmtId="0" fontId="0" fillId="0" borderId="44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45" xfId="0" applyBorder="1" applyAlignment="1" applyProtection="1">
      <alignment horizontal="center"/>
      <protection hidden="1"/>
    </xf>
    <xf numFmtId="0" fontId="8" fillId="5" borderId="33" xfId="0" applyFont="1" applyFill="1" applyBorder="1" applyAlignment="1" applyProtection="1">
      <alignment horizontal="left"/>
      <protection hidden="1"/>
    </xf>
    <xf numFmtId="0" fontId="8" fillId="5" borderId="34" xfId="0" applyFont="1" applyFill="1" applyBorder="1" applyAlignment="1" applyProtection="1">
      <alignment horizontal="left"/>
      <protection hidden="1"/>
    </xf>
    <xf numFmtId="0" fontId="8" fillId="5" borderId="35" xfId="0" applyFont="1" applyFill="1" applyBorder="1" applyAlignment="1" applyProtection="1">
      <alignment horizontal="left"/>
      <protection hidden="1"/>
    </xf>
    <xf numFmtId="0" fontId="10" fillId="5" borderId="36" xfId="0" applyFont="1" applyFill="1" applyBorder="1" applyAlignment="1" applyProtection="1">
      <alignment horizontal="center"/>
      <protection hidden="1"/>
    </xf>
    <xf numFmtId="0" fontId="0" fillId="5" borderId="27" xfId="0" applyFill="1" applyBorder="1" applyAlignment="1" applyProtection="1">
      <alignment horizontal="center"/>
      <protection hidden="1"/>
    </xf>
    <xf numFmtId="0" fontId="0" fillId="5" borderId="46" xfId="0" applyFill="1" applyBorder="1" applyProtection="1">
      <protection hidden="1"/>
    </xf>
    <xf numFmtId="164" fontId="8" fillId="5" borderId="47" xfId="0" applyNumberFormat="1" applyFont="1" applyFill="1" applyBorder="1" applyProtection="1">
      <protection hidden="1"/>
    </xf>
    <xf numFmtId="0" fontId="8" fillId="5" borderId="48" xfId="0" applyFont="1" applyFill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164" fontId="8" fillId="0" borderId="0" xfId="0" applyNumberFormat="1" applyFont="1" applyFill="1" applyBorder="1" applyProtection="1">
      <protection hidden="1"/>
    </xf>
    <xf numFmtId="0" fontId="8" fillId="0" borderId="0" xfId="0" applyFont="1" applyFill="1" applyBorder="1" applyAlignment="1" applyProtection="1">
      <alignment horizontal="center"/>
      <protection hidden="1"/>
    </xf>
  </cellXfs>
  <cellStyles count="4">
    <cellStyle name="Normal" xfId="0" builtinId="0"/>
    <cellStyle name="Text explicativ" xfId="1" builtinId="53"/>
    <cellStyle name="Titlu" xfId="2" builtinId="15"/>
    <cellStyle name="Titlu 1" xfId="3" builtinId="16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19"/>
  <sheetViews>
    <sheetView tabSelected="1" workbookViewId="0"/>
  </sheetViews>
  <sheetFormatPr defaultRowHeight="15" x14ac:dyDescent="0.25"/>
  <cols>
    <col min="1" max="17" width="9.140625" style="38"/>
    <col min="18" max="18" width="12" style="38" bestFit="1" customWidth="1"/>
    <col min="19" max="16384" width="9.140625" style="38"/>
  </cols>
  <sheetData>
    <row r="1" spans="1:15" ht="23.25" x14ac:dyDescent="0.35">
      <c r="A1" s="37" t="s">
        <v>47</v>
      </c>
    </row>
    <row r="2" spans="1:15" x14ac:dyDescent="0.25">
      <c r="A2" s="39" t="s">
        <v>48</v>
      </c>
    </row>
    <row r="4" spans="1:15" ht="23.25" x14ac:dyDescent="0.35">
      <c r="A4" s="40" t="s">
        <v>35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6" spans="1:15" ht="20.25" thickBot="1" x14ac:dyDescent="0.35">
      <c r="A6" s="41" t="s">
        <v>36</v>
      </c>
      <c r="B6" s="41"/>
      <c r="C6" s="41"/>
      <c r="D6" s="41"/>
    </row>
    <row r="7" spans="1:15" ht="15.75" thickTop="1" x14ac:dyDescent="0.25"/>
    <row r="8" spans="1:15" x14ac:dyDescent="0.25">
      <c r="A8" s="42" t="s">
        <v>15</v>
      </c>
      <c r="D8" s="38" t="s">
        <v>54</v>
      </c>
    </row>
    <row r="9" spans="1:15" x14ac:dyDescent="0.25">
      <c r="A9" s="42"/>
      <c r="D9" s="38" t="s">
        <v>55</v>
      </c>
    </row>
    <row r="10" spans="1:15" x14ac:dyDescent="0.25">
      <c r="D10" s="38" t="s">
        <v>52</v>
      </c>
    </row>
    <row r="11" spans="1:15" x14ac:dyDescent="0.25">
      <c r="E11" s="38" t="s">
        <v>53</v>
      </c>
    </row>
    <row r="12" spans="1:15" ht="15.75" thickBot="1" x14ac:dyDescent="0.3"/>
    <row r="13" spans="1:15" ht="15.75" thickBot="1" x14ac:dyDescent="0.3">
      <c r="A13" s="42" t="s">
        <v>15</v>
      </c>
      <c r="D13" s="43" t="s">
        <v>37</v>
      </c>
      <c r="E13" s="44" t="s">
        <v>38</v>
      </c>
      <c r="F13" s="45" t="s">
        <v>0</v>
      </c>
      <c r="G13" s="46" t="s">
        <v>39</v>
      </c>
      <c r="H13" s="47"/>
    </row>
    <row r="14" spans="1:15" x14ac:dyDescent="0.25">
      <c r="A14" s="38" t="s">
        <v>49</v>
      </c>
    </row>
    <row r="15" spans="1:15" x14ac:dyDescent="0.25">
      <c r="E15" s="38" t="s">
        <v>13</v>
      </c>
    </row>
    <row r="16" spans="1:15" x14ac:dyDescent="0.25">
      <c r="F16" s="43" t="s">
        <v>40</v>
      </c>
      <c r="G16" s="38" t="s">
        <v>16</v>
      </c>
      <c r="H16" s="48"/>
    </row>
    <row r="17" spans="1:7" x14ac:dyDescent="0.25">
      <c r="F17" s="43" t="s">
        <v>41</v>
      </c>
      <c r="G17" s="38" t="s">
        <v>17</v>
      </c>
    </row>
    <row r="19" spans="1:7" x14ac:dyDescent="0.25">
      <c r="A19" s="39" t="s">
        <v>50</v>
      </c>
    </row>
  </sheetData>
  <sheetProtection algorithmName="SHA-512" hashValue="xKqaS8M6+bSdA/IbA86g5o5D24eLdh3zetE6mBKNM3GLFUTvseQax3e9MQ4LAAd9rp9DbjPDGRTVkkawOqHnmg==" saltValue="CQKEYqxEqVAjxa2rJVFBbA==" spinCount="100000" sheet="1" objects="1" scenarios="1"/>
  <mergeCells count="2">
    <mergeCell ref="G13:H13"/>
    <mergeCell ref="A4:O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8"/>
  <sheetViews>
    <sheetView workbookViewId="0"/>
  </sheetViews>
  <sheetFormatPr defaultRowHeight="15" x14ac:dyDescent="0.25"/>
  <cols>
    <col min="1" max="5" width="9.140625" style="38"/>
    <col min="6" max="6" width="11.7109375" style="38" bestFit="1" customWidth="1"/>
    <col min="7" max="9" width="9.140625" style="38"/>
    <col min="10" max="10" width="11.85546875" style="38" bestFit="1" customWidth="1"/>
    <col min="11" max="16384" width="9.140625" style="38"/>
  </cols>
  <sheetData>
    <row r="1" spans="1:15" ht="23.25" x14ac:dyDescent="0.35">
      <c r="A1" s="37" t="s">
        <v>47</v>
      </c>
    </row>
    <row r="2" spans="1:15" x14ac:dyDescent="0.25">
      <c r="A2" s="39" t="s">
        <v>48</v>
      </c>
    </row>
    <row r="3" spans="1:15" x14ac:dyDescent="0.25">
      <c r="A3" s="39"/>
    </row>
    <row r="4" spans="1:15" ht="20.25" thickBot="1" x14ac:dyDescent="0.35">
      <c r="A4" s="41" t="s">
        <v>23</v>
      </c>
      <c r="B4" s="41"/>
      <c r="C4" s="41"/>
    </row>
    <row r="5" spans="1:15" ht="15.75" thickTop="1" x14ac:dyDescent="0.25">
      <c r="A5" s="49" t="s">
        <v>51</v>
      </c>
      <c r="B5" s="49"/>
      <c r="C5" s="49"/>
      <c r="D5" s="49"/>
      <c r="E5" s="49"/>
      <c r="F5" s="49"/>
      <c r="G5" s="49"/>
      <c r="H5" s="49"/>
      <c r="I5" s="49"/>
      <c r="J5" s="49"/>
      <c r="K5" s="50"/>
      <c r="L5" s="50"/>
      <c r="M5" s="50"/>
      <c r="N5" s="50"/>
      <c r="O5" s="50"/>
    </row>
    <row r="6" spans="1:15" ht="15.75" thickBot="1" x14ac:dyDescent="0.3"/>
    <row r="7" spans="1:15" ht="16.5" thickTop="1" thickBot="1" x14ac:dyDescent="0.3">
      <c r="H7" s="51" t="s">
        <v>1</v>
      </c>
      <c r="I7" s="52" t="s">
        <v>4</v>
      </c>
      <c r="J7" s="53" t="s">
        <v>20</v>
      </c>
    </row>
    <row r="8" spans="1:15" ht="15.75" thickBot="1" x14ac:dyDescent="0.3">
      <c r="A8" s="54" t="s">
        <v>18</v>
      </c>
      <c r="B8" s="55"/>
      <c r="C8" s="55"/>
      <c r="D8" s="55"/>
      <c r="E8" s="56"/>
      <c r="F8" s="57" t="s">
        <v>31</v>
      </c>
      <c r="G8" s="58"/>
      <c r="H8" s="59" t="s">
        <v>32</v>
      </c>
      <c r="I8" s="60" t="s">
        <v>33</v>
      </c>
      <c r="J8" s="61"/>
    </row>
    <row r="9" spans="1:15" x14ac:dyDescent="0.25">
      <c r="A9" s="62" t="s">
        <v>34</v>
      </c>
      <c r="B9" s="63"/>
      <c r="C9" s="63"/>
      <c r="D9" s="63"/>
      <c r="E9" s="64"/>
      <c r="F9" s="65" t="s">
        <v>9</v>
      </c>
      <c r="G9" s="66" t="s">
        <v>0</v>
      </c>
      <c r="H9" s="67">
        <v>20</v>
      </c>
      <c r="I9" s="68">
        <v>12</v>
      </c>
      <c r="J9" s="69" t="s">
        <v>22</v>
      </c>
    </row>
    <row r="10" spans="1:15" x14ac:dyDescent="0.25">
      <c r="A10" s="70" t="s">
        <v>21</v>
      </c>
      <c r="B10" s="71"/>
      <c r="C10" s="71"/>
      <c r="D10" s="71"/>
      <c r="E10" s="72"/>
      <c r="F10" s="73" t="s">
        <v>10</v>
      </c>
      <c r="G10" s="74" t="s">
        <v>0</v>
      </c>
      <c r="H10" s="75">
        <v>176</v>
      </c>
      <c r="I10" s="76">
        <v>43</v>
      </c>
      <c r="J10" s="77" t="s">
        <v>7</v>
      </c>
    </row>
    <row r="11" spans="1:15" x14ac:dyDescent="0.25">
      <c r="A11" s="70" t="s">
        <v>14</v>
      </c>
      <c r="B11" s="71"/>
      <c r="C11" s="71"/>
      <c r="D11" s="71"/>
      <c r="E11" s="72"/>
      <c r="F11" s="78" t="s">
        <v>8</v>
      </c>
      <c r="G11" s="74" t="s">
        <v>0</v>
      </c>
      <c r="H11" s="79">
        <f>Calculations!C9</f>
        <v>196</v>
      </c>
      <c r="I11" s="80">
        <f>Calculations!D9</f>
        <v>54.999999999999432</v>
      </c>
      <c r="J11" s="81" t="str">
        <f>IF(Calculations!F6&gt;0,"E","W")</f>
        <v>W</v>
      </c>
    </row>
    <row r="12" spans="1:15" x14ac:dyDescent="0.25">
      <c r="A12" s="70" t="s">
        <v>30</v>
      </c>
      <c r="B12" s="71"/>
      <c r="C12" s="71"/>
      <c r="D12" s="71"/>
      <c r="E12" s="72"/>
      <c r="F12" s="78" t="s">
        <v>42</v>
      </c>
      <c r="G12" s="82" t="s">
        <v>0</v>
      </c>
      <c r="H12" s="79">
        <f>Calculations!C12</f>
        <v>163</v>
      </c>
      <c r="I12" s="80">
        <f>Calculations!D12</f>
        <v>5.0000000000005684</v>
      </c>
      <c r="J12" s="81" t="str">
        <f>IF(Calculations!F7&gt;180,IF(J11="W","E","W"),J11)</f>
        <v>E</v>
      </c>
    </row>
    <row r="13" spans="1:15" x14ac:dyDescent="0.25">
      <c r="A13" s="83" t="s">
        <v>46</v>
      </c>
      <c r="B13" s="71"/>
      <c r="C13" s="71"/>
      <c r="D13" s="71"/>
      <c r="E13" s="72"/>
      <c r="F13" s="78" t="s">
        <v>8</v>
      </c>
      <c r="G13" s="82" t="s">
        <v>0</v>
      </c>
      <c r="H13" s="79"/>
      <c r="I13" s="80">
        <f>(H12*60)+I12</f>
        <v>9785</v>
      </c>
      <c r="J13" s="81" t="str">
        <f>J12</f>
        <v>E</v>
      </c>
    </row>
    <row r="14" spans="1:15" x14ac:dyDescent="0.25">
      <c r="A14" s="70" t="s">
        <v>28</v>
      </c>
      <c r="B14" s="71"/>
      <c r="C14" s="71"/>
      <c r="D14" s="71"/>
      <c r="E14" s="72"/>
      <c r="F14" s="78" t="s">
        <v>24</v>
      </c>
      <c r="G14" s="74" t="s">
        <v>0</v>
      </c>
      <c r="H14" s="75">
        <v>42</v>
      </c>
      <c r="I14" s="84">
        <v>41.5</v>
      </c>
      <c r="J14" s="77" t="s">
        <v>3</v>
      </c>
    </row>
    <row r="15" spans="1:15" x14ac:dyDescent="0.25">
      <c r="A15" s="70" t="s">
        <v>26</v>
      </c>
      <c r="B15" s="71"/>
      <c r="C15" s="71"/>
      <c r="D15" s="71"/>
      <c r="E15" s="72"/>
      <c r="F15" s="85" t="s">
        <v>43</v>
      </c>
      <c r="G15" s="74" t="s">
        <v>0</v>
      </c>
      <c r="H15" s="86"/>
      <c r="I15" s="87">
        <f>Calculations!F18</f>
        <v>0.73501322170220362</v>
      </c>
      <c r="J15" s="88"/>
    </row>
    <row r="16" spans="1:15" ht="15.75" thickBot="1" x14ac:dyDescent="0.3">
      <c r="A16" s="89" t="s">
        <v>45</v>
      </c>
      <c r="B16" s="90"/>
      <c r="C16" s="90"/>
      <c r="D16" s="90"/>
      <c r="E16" s="91"/>
      <c r="F16" s="92" t="s">
        <v>44</v>
      </c>
      <c r="G16" s="93" t="s">
        <v>0</v>
      </c>
      <c r="H16" s="94"/>
      <c r="I16" s="95">
        <f>I13*I15</f>
        <v>7192.1043743560622</v>
      </c>
      <c r="J16" s="96" t="str">
        <f>J13</f>
        <v>E</v>
      </c>
      <c r="K16" s="43"/>
    </row>
    <row r="17" spans="1:11" ht="15.75" thickBot="1" x14ac:dyDescent="0.3">
      <c r="A17" s="97"/>
      <c r="B17" s="97"/>
      <c r="C17" s="97"/>
      <c r="D17" s="97"/>
      <c r="E17" s="97"/>
      <c r="F17" s="98"/>
      <c r="G17" s="99"/>
      <c r="H17" s="100"/>
      <c r="I17" s="101"/>
      <c r="J17" s="102"/>
      <c r="K17" s="43"/>
    </row>
    <row r="18" spans="1:11" ht="16.5" thickTop="1" thickBot="1" x14ac:dyDescent="0.3">
      <c r="H18" s="51" t="s">
        <v>1</v>
      </c>
      <c r="I18" s="52" t="s">
        <v>4</v>
      </c>
      <c r="J18" s="53" t="s">
        <v>20</v>
      </c>
    </row>
    <row r="19" spans="1:11" ht="15.75" thickBot="1" x14ac:dyDescent="0.3">
      <c r="A19" s="54" t="s">
        <v>19</v>
      </c>
      <c r="B19" s="55"/>
      <c r="C19" s="55"/>
      <c r="D19" s="55"/>
      <c r="E19" s="56"/>
      <c r="F19" s="57" t="s">
        <v>31</v>
      </c>
      <c r="G19" s="58"/>
      <c r="H19" s="59" t="s">
        <v>32</v>
      </c>
      <c r="I19" s="60" t="s">
        <v>33</v>
      </c>
      <c r="J19" s="61"/>
    </row>
    <row r="20" spans="1:11" x14ac:dyDescent="0.25">
      <c r="A20" s="62" t="s">
        <v>34</v>
      </c>
      <c r="B20" s="63"/>
      <c r="C20" s="63"/>
      <c r="D20" s="63"/>
      <c r="E20" s="64"/>
      <c r="F20" s="65" t="s">
        <v>9</v>
      </c>
      <c r="G20" s="66" t="s">
        <v>0</v>
      </c>
      <c r="H20" s="67"/>
      <c r="I20" s="68"/>
      <c r="J20" s="69"/>
    </row>
    <row r="21" spans="1:11" x14ac:dyDescent="0.25">
      <c r="A21" s="70" t="s">
        <v>21</v>
      </c>
      <c r="B21" s="71"/>
      <c r="C21" s="71"/>
      <c r="D21" s="71"/>
      <c r="E21" s="72"/>
      <c r="F21" s="73" t="s">
        <v>10</v>
      </c>
      <c r="G21" s="74" t="s">
        <v>0</v>
      </c>
      <c r="H21" s="75"/>
      <c r="I21" s="76"/>
      <c r="J21" s="77"/>
    </row>
    <row r="22" spans="1:11" x14ac:dyDescent="0.25">
      <c r="A22" s="70" t="s">
        <v>14</v>
      </c>
      <c r="B22" s="71"/>
      <c r="C22" s="71"/>
      <c r="D22" s="71"/>
      <c r="E22" s="72"/>
      <c r="F22" s="78" t="s">
        <v>8</v>
      </c>
      <c r="G22" s="74" t="s">
        <v>0</v>
      </c>
      <c r="H22" s="79">
        <f>Calculations!J9</f>
        <v>0</v>
      </c>
      <c r="I22" s="80">
        <f>Calculations!K9</f>
        <v>0</v>
      </c>
      <c r="J22" s="81" t="str">
        <f>IF(Calculations!M6&gt;0,"E","W")</f>
        <v>W</v>
      </c>
    </row>
    <row r="23" spans="1:11" x14ac:dyDescent="0.25">
      <c r="A23" s="70" t="s">
        <v>30</v>
      </c>
      <c r="B23" s="71"/>
      <c r="C23" s="71"/>
      <c r="D23" s="71"/>
      <c r="E23" s="72"/>
      <c r="F23" s="78" t="s">
        <v>42</v>
      </c>
      <c r="G23" s="82" t="s">
        <v>0</v>
      </c>
      <c r="H23" s="79">
        <f>Calculations!J12</f>
        <v>0</v>
      </c>
      <c r="I23" s="80">
        <f>Calculations!K12</f>
        <v>0</v>
      </c>
      <c r="J23" s="81" t="str">
        <f>IF(Calculations!M7&gt;180,IF(J22="W","E","W"),J22)</f>
        <v>W</v>
      </c>
    </row>
    <row r="24" spans="1:11" x14ac:dyDescent="0.25">
      <c r="A24" s="83" t="s">
        <v>46</v>
      </c>
      <c r="B24" s="71"/>
      <c r="C24" s="71"/>
      <c r="D24" s="71"/>
      <c r="E24" s="72"/>
      <c r="F24" s="78" t="s">
        <v>8</v>
      </c>
      <c r="G24" s="82" t="s">
        <v>0</v>
      </c>
      <c r="H24" s="79"/>
      <c r="I24" s="80">
        <f>(H23*60)+I23</f>
        <v>0</v>
      </c>
      <c r="J24" s="81" t="str">
        <f>J23</f>
        <v>W</v>
      </c>
    </row>
    <row r="25" spans="1:11" x14ac:dyDescent="0.25">
      <c r="A25" s="70" t="s">
        <v>28</v>
      </c>
      <c r="B25" s="71"/>
      <c r="C25" s="71"/>
      <c r="D25" s="71"/>
      <c r="E25" s="72"/>
      <c r="F25" s="78" t="s">
        <v>24</v>
      </c>
      <c r="G25" s="74" t="s">
        <v>0</v>
      </c>
      <c r="H25" s="75"/>
      <c r="I25" s="84"/>
      <c r="J25" s="77"/>
    </row>
    <row r="26" spans="1:11" x14ac:dyDescent="0.25">
      <c r="A26" s="70" t="s">
        <v>26</v>
      </c>
      <c r="B26" s="71"/>
      <c r="C26" s="71"/>
      <c r="D26" s="71"/>
      <c r="E26" s="72"/>
      <c r="F26" s="85" t="s">
        <v>43</v>
      </c>
      <c r="G26" s="74" t="s">
        <v>0</v>
      </c>
      <c r="H26" s="86"/>
      <c r="I26" s="87">
        <f>Calculations!M18</f>
        <v>1</v>
      </c>
      <c r="J26" s="88"/>
    </row>
    <row r="27" spans="1:11" ht="15.75" thickBot="1" x14ac:dyDescent="0.3">
      <c r="A27" s="89" t="s">
        <v>45</v>
      </c>
      <c r="B27" s="90"/>
      <c r="C27" s="90"/>
      <c r="D27" s="90"/>
      <c r="E27" s="91"/>
      <c r="F27" s="92" t="s">
        <v>44</v>
      </c>
      <c r="G27" s="93" t="s">
        <v>0</v>
      </c>
      <c r="H27" s="94"/>
      <c r="I27" s="95">
        <f>I24*I26</f>
        <v>0</v>
      </c>
      <c r="J27" s="96" t="str">
        <f>J24</f>
        <v>W</v>
      </c>
      <c r="K27" s="43"/>
    </row>
    <row r="28" spans="1:11" x14ac:dyDescent="0.25">
      <c r="A28" s="39" t="s">
        <v>50</v>
      </c>
    </row>
  </sheetData>
  <sheetProtection algorithmName="SHA-512" hashValue="y7oDnl8QFsTUqV22Bw99KDxvusbZFV4SvvfXNKTHG1Rzu85KPqZ3L6HdG+fLdC87HgRZ2BaAVRn3fawG69CzJA==" saltValue="9abv4HHQaxNvWCdVPRKAOQ==" spinCount="100000" sheet="1" objects="1" scenarios="1"/>
  <protectedRanges>
    <protectedRange sqref="H9:J10 H14:J14 H20:J21 H25:J25" name="Zonă1"/>
  </protectedRanges>
  <mergeCells count="21">
    <mergeCell ref="A5:J5"/>
    <mergeCell ref="A24:E24"/>
    <mergeCell ref="A25:E25"/>
    <mergeCell ref="A26:E26"/>
    <mergeCell ref="A27:E27"/>
    <mergeCell ref="A23:E23"/>
    <mergeCell ref="A19:E19"/>
    <mergeCell ref="A20:E20"/>
    <mergeCell ref="A21:E21"/>
    <mergeCell ref="A22:E22"/>
    <mergeCell ref="A14:E14"/>
    <mergeCell ref="A15:E15"/>
    <mergeCell ref="A16:E16"/>
    <mergeCell ref="A8:E8"/>
    <mergeCell ref="A9:E9"/>
    <mergeCell ref="A10:E10"/>
    <mergeCell ref="A11:E11"/>
    <mergeCell ref="A12:E12"/>
    <mergeCell ref="A13:E13"/>
    <mergeCell ref="J7:J8"/>
    <mergeCell ref="J18:J19"/>
  </mergeCells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047E417-6078-4475-8D0F-BD2516C0FC15}">
            <xm:f>Calculations!$F$7&gt;180</xm:f>
            <x14:dxf>
              <fill>
                <patternFill>
                  <bgColor rgb="FFFF0000"/>
                </patternFill>
              </fill>
            </x14:dxf>
          </x14:cfRule>
          <xm:sqref>H11:J11</xm:sqref>
        </x14:conditionalFormatting>
        <x14:conditionalFormatting xmlns:xm="http://schemas.microsoft.com/office/excel/2006/main">
          <x14:cfRule type="expression" priority="1" id="{824A94E3-CEFF-42CE-B7BB-C3C3125E0C24}">
            <xm:f>Calculations!$M$7&gt;180</xm:f>
            <x14:dxf>
              <fill>
                <patternFill>
                  <bgColor rgb="FFFF0000"/>
                </patternFill>
              </fill>
            </x14:dxf>
          </x14:cfRule>
          <xm:sqref>H22:J22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3"/>
  <sheetViews>
    <sheetView workbookViewId="0"/>
  </sheetViews>
  <sheetFormatPr defaultRowHeight="15" x14ac:dyDescent="0.25"/>
  <sheetData>
    <row r="2" spans="2:13" ht="15.75" thickBot="1" x14ac:dyDescent="0.3">
      <c r="B2" s="35" t="s">
        <v>18</v>
      </c>
      <c r="C2" s="35"/>
      <c r="D2" s="35"/>
      <c r="E2" s="35"/>
      <c r="F2" s="35"/>
      <c r="I2" s="35" t="s">
        <v>19</v>
      </c>
      <c r="J2" s="35"/>
      <c r="K2" s="35"/>
      <c r="L2" s="35"/>
      <c r="M2" s="35"/>
    </row>
    <row r="3" spans="2:13" ht="15.75" thickBot="1" x14ac:dyDescent="0.3">
      <c r="B3" s="26"/>
      <c r="C3" s="8" t="s">
        <v>1</v>
      </c>
      <c r="D3" s="5" t="s">
        <v>2</v>
      </c>
      <c r="E3" s="5" t="s">
        <v>5</v>
      </c>
      <c r="F3" s="6" t="s">
        <v>6</v>
      </c>
      <c r="I3" s="26"/>
      <c r="J3" s="8" t="s">
        <v>1</v>
      </c>
      <c r="K3" s="5" t="s">
        <v>2</v>
      </c>
      <c r="L3" s="5" t="s">
        <v>5</v>
      </c>
      <c r="M3" s="6" t="s">
        <v>6</v>
      </c>
    </row>
    <row r="4" spans="2:13" x14ac:dyDescent="0.25">
      <c r="B4" s="27" t="s">
        <v>9</v>
      </c>
      <c r="C4" s="24">
        <f>'Departure Calculation'!H9</f>
        <v>20</v>
      </c>
      <c r="D4" s="11">
        <f>'Departure Calculation'!I9/60</f>
        <v>0.2</v>
      </c>
      <c r="E4" s="11">
        <f>SUM(C4:D4)</f>
        <v>20.2</v>
      </c>
      <c r="F4" s="12">
        <f>IF('Departure Calculation'!J9="E",E4,E4*(-1))</f>
        <v>-20.2</v>
      </c>
      <c r="I4" s="27" t="s">
        <v>9</v>
      </c>
      <c r="J4" s="24">
        <f>'Departure Calculation'!H20</f>
        <v>0</v>
      </c>
      <c r="K4" s="11">
        <f>'Departure Calculation'!I20/60</f>
        <v>0</v>
      </c>
      <c r="L4" s="11">
        <f>SUM(J4:K4)</f>
        <v>0</v>
      </c>
      <c r="M4" s="12">
        <f>IF('Departure Calculation'!J20="E",L4,L4*(-1))</f>
        <v>0</v>
      </c>
    </row>
    <row r="5" spans="2:13" x14ac:dyDescent="0.25">
      <c r="B5" s="28" t="s">
        <v>10</v>
      </c>
      <c r="C5" s="10">
        <f>'Departure Calculation'!H10</f>
        <v>176</v>
      </c>
      <c r="D5" s="1">
        <f>'Departure Calculation'!I10/60</f>
        <v>0.71666666666666667</v>
      </c>
      <c r="E5" s="1">
        <f>SUM(C5:D5)</f>
        <v>176.71666666666667</v>
      </c>
      <c r="F5" s="4">
        <f>IF('Departure Calculation'!J10="E",E5,E5*(-1))</f>
        <v>176.71666666666667</v>
      </c>
      <c r="I5" s="28" t="s">
        <v>10</v>
      </c>
      <c r="J5" s="10">
        <f>'Departure Calculation'!H21</f>
        <v>0</v>
      </c>
      <c r="K5" s="1">
        <f>'Departure Calculation'!I21/60</f>
        <v>0</v>
      </c>
      <c r="L5" s="1">
        <f>SUM(J5:K5)</f>
        <v>0</v>
      </c>
      <c r="M5" s="4">
        <f>IF('Departure Calculation'!J21="E",L5,L5*(-1))</f>
        <v>0</v>
      </c>
    </row>
    <row r="6" spans="2:13" x14ac:dyDescent="0.25">
      <c r="B6" s="29" t="s">
        <v>8</v>
      </c>
      <c r="C6" s="10"/>
      <c r="D6" s="1"/>
      <c r="E6" s="1"/>
      <c r="F6" s="4">
        <f>F4-F5</f>
        <v>-196.91666666666666</v>
      </c>
      <c r="I6" s="29" t="s">
        <v>8</v>
      </c>
      <c r="J6" s="10"/>
      <c r="K6" s="1"/>
      <c r="L6" s="1"/>
      <c r="M6" s="4">
        <f>M4-M5</f>
        <v>0</v>
      </c>
    </row>
    <row r="7" spans="2:13" x14ac:dyDescent="0.25">
      <c r="B7" s="25"/>
      <c r="C7" s="10"/>
      <c r="D7" s="1"/>
      <c r="E7" s="1"/>
      <c r="F7" s="4">
        <f>ABS(F6)</f>
        <v>196.91666666666666</v>
      </c>
      <c r="I7" s="25"/>
      <c r="J7" s="10"/>
      <c r="K7" s="1"/>
      <c r="L7" s="1"/>
      <c r="M7" s="4">
        <f>ABS(M6)</f>
        <v>0</v>
      </c>
    </row>
    <row r="8" spans="2:13" ht="15.75" thickBot="1" x14ac:dyDescent="0.3">
      <c r="B8" s="25"/>
      <c r="C8" s="20"/>
      <c r="D8" s="14">
        <f>F7-C9</f>
        <v>0.91666666666665719</v>
      </c>
      <c r="E8" s="14"/>
      <c r="F8" s="15"/>
      <c r="I8" s="25"/>
      <c r="J8" s="20"/>
      <c r="K8" s="14">
        <f>M7-J9</f>
        <v>0</v>
      </c>
      <c r="L8" s="14"/>
      <c r="M8" s="15"/>
    </row>
    <row r="9" spans="2:13" ht="15.75" thickBot="1" x14ac:dyDescent="0.3">
      <c r="B9" s="25"/>
      <c r="C9" s="21">
        <f>INT(F7)</f>
        <v>196</v>
      </c>
      <c r="D9" s="16">
        <f>D8*60</f>
        <v>54.999999999999432</v>
      </c>
      <c r="E9" s="16"/>
      <c r="F9" s="17"/>
      <c r="I9" s="25"/>
      <c r="J9" s="21">
        <f>INT(M7)</f>
        <v>0</v>
      </c>
      <c r="K9" s="16">
        <f>K8*60</f>
        <v>0</v>
      </c>
      <c r="L9" s="16"/>
      <c r="M9" s="17"/>
    </row>
    <row r="10" spans="2:13" x14ac:dyDescent="0.25">
      <c r="B10" s="30" t="s">
        <v>11</v>
      </c>
      <c r="C10" s="9"/>
      <c r="D10" s="2"/>
      <c r="E10" s="2"/>
      <c r="F10" s="3">
        <f>IF(F7&lt;180,F7,360-F7)</f>
        <v>163.08333333333334</v>
      </c>
      <c r="I10" s="30" t="s">
        <v>11</v>
      </c>
      <c r="J10" s="9"/>
      <c r="K10" s="2"/>
      <c r="L10" s="2"/>
      <c r="M10" s="3">
        <f>IF(M7&lt;180,M7,360-M7)</f>
        <v>0</v>
      </c>
    </row>
    <row r="11" spans="2:13" ht="15.75" thickBot="1" x14ac:dyDescent="0.3">
      <c r="B11" s="25"/>
      <c r="C11" s="20"/>
      <c r="D11" s="14">
        <f>F10-C12</f>
        <v>8.3333333333342807E-2</v>
      </c>
      <c r="E11" s="14"/>
      <c r="F11" s="15"/>
      <c r="I11" s="25"/>
      <c r="J11" s="20"/>
      <c r="K11" s="14">
        <f>M10-J12</f>
        <v>0</v>
      </c>
      <c r="L11" s="14"/>
      <c r="M11" s="15"/>
    </row>
    <row r="12" spans="2:13" ht="15.75" thickBot="1" x14ac:dyDescent="0.3">
      <c r="B12" s="25"/>
      <c r="C12" s="21">
        <f>INT(F10)</f>
        <v>163</v>
      </c>
      <c r="D12" s="16">
        <f>D11*60</f>
        <v>5.0000000000005684</v>
      </c>
      <c r="E12" s="16"/>
      <c r="F12" s="17"/>
      <c r="I12" s="25"/>
      <c r="J12" s="21">
        <f>INT(M10)</f>
        <v>0</v>
      </c>
      <c r="K12" s="16">
        <f>K11*60</f>
        <v>0</v>
      </c>
      <c r="L12" s="16"/>
      <c r="M12" s="17"/>
    </row>
    <row r="13" spans="2:13" x14ac:dyDescent="0.25">
      <c r="B13" s="30" t="s">
        <v>27</v>
      </c>
      <c r="C13" s="9"/>
      <c r="D13" s="18">
        <f>'Departure Calculation'!I13</f>
        <v>9785</v>
      </c>
      <c r="E13" s="18">
        <f>SUM(C13:D13)</f>
        <v>9785</v>
      </c>
      <c r="F13" s="22">
        <f>IF('Departure Calculation'!J13="E",E13,E13*(-1))</f>
        <v>9785</v>
      </c>
      <c r="I13" s="30" t="s">
        <v>27</v>
      </c>
      <c r="J13" s="9"/>
      <c r="K13" s="18">
        <f>'Departure Calculation'!I24</f>
        <v>0</v>
      </c>
      <c r="L13" s="18">
        <f>SUM(J13:K13)</f>
        <v>0</v>
      </c>
      <c r="M13" s="22">
        <f>IF('Departure Calculation'!J24="E",L13,L13*(-1))</f>
        <v>0</v>
      </c>
    </row>
    <row r="14" spans="2:13" x14ac:dyDescent="0.25">
      <c r="B14" s="30"/>
      <c r="C14" s="10"/>
      <c r="D14" s="19"/>
      <c r="E14" s="19"/>
      <c r="F14" s="23">
        <f>ABS(F13)</f>
        <v>9785</v>
      </c>
      <c r="I14" s="30"/>
      <c r="J14" s="10"/>
      <c r="K14" s="19"/>
      <c r="L14" s="19"/>
      <c r="M14" s="23">
        <f>ABS(M13)</f>
        <v>0</v>
      </c>
    </row>
    <row r="15" spans="2:13" x14ac:dyDescent="0.25">
      <c r="B15" s="30" t="s">
        <v>24</v>
      </c>
      <c r="C15" s="10">
        <f>'Departure Calculation'!H14</f>
        <v>42</v>
      </c>
      <c r="D15" s="1">
        <f>'Departure Calculation'!I14/60</f>
        <v>0.69166666666666665</v>
      </c>
      <c r="E15" s="1">
        <f>SUM(C15:D15)</f>
        <v>42.69166666666667</v>
      </c>
      <c r="F15" s="4">
        <f>IF('Departure Calculation'!J14="N",E15,E15*(-1))</f>
        <v>42.69166666666667</v>
      </c>
      <c r="I15" s="30" t="s">
        <v>24</v>
      </c>
      <c r="J15" s="10">
        <f>'Departure Calculation'!H25</f>
        <v>0</v>
      </c>
      <c r="K15" s="1">
        <f>'Departure Calculation'!I25/60</f>
        <v>0</v>
      </c>
      <c r="L15" s="1">
        <f>SUM(J15:K15)</f>
        <v>0</v>
      </c>
      <c r="M15" s="4">
        <f>IF('Departure Calculation'!J25="N",L15,L15*(-1))</f>
        <v>0</v>
      </c>
    </row>
    <row r="16" spans="2:13" x14ac:dyDescent="0.25">
      <c r="B16" s="25"/>
      <c r="C16" s="10"/>
      <c r="D16" s="1"/>
      <c r="E16" s="1"/>
      <c r="F16" s="4">
        <f>ABS(F15)</f>
        <v>42.69166666666667</v>
      </c>
      <c r="I16" s="25"/>
      <c r="J16" s="10"/>
      <c r="K16" s="1"/>
      <c r="L16" s="1"/>
      <c r="M16" s="4">
        <f>ABS(M15)</f>
        <v>0</v>
      </c>
    </row>
    <row r="17" spans="2:14" x14ac:dyDescent="0.25">
      <c r="B17" s="25" t="s">
        <v>25</v>
      </c>
      <c r="C17" s="10"/>
      <c r="D17" s="1"/>
      <c r="E17" s="1"/>
      <c r="F17" s="4">
        <f>RADIANS(F16)</f>
        <v>0.74511014649724594</v>
      </c>
      <c r="I17" s="25" t="s">
        <v>25</v>
      </c>
      <c r="J17" s="10"/>
      <c r="K17" s="1"/>
      <c r="L17" s="1"/>
      <c r="M17" s="4">
        <f>RADIANS(M16)</f>
        <v>0</v>
      </c>
    </row>
    <row r="18" spans="2:14" ht="15.75" thickBot="1" x14ac:dyDescent="0.3">
      <c r="B18" s="31" t="s">
        <v>29</v>
      </c>
      <c r="C18" s="20"/>
      <c r="D18" s="14"/>
      <c r="E18" s="14"/>
      <c r="F18" s="15">
        <f>COS(F17)</f>
        <v>0.73501322170220362</v>
      </c>
      <c r="I18" s="31" t="s">
        <v>29</v>
      </c>
      <c r="J18" s="20"/>
      <c r="K18" s="14"/>
      <c r="L18" s="14"/>
      <c r="M18" s="15">
        <f>COS(M17)</f>
        <v>1</v>
      </c>
    </row>
    <row r="19" spans="2:14" ht="15.75" thickBot="1" x14ac:dyDescent="0.3">
      <c r="B19" s="36" t="s">
        <v>12</v>
      </c>
      <c r="C19" s="32"/>
      <c r="D19" s="33"/>
      <c r="E19" s="33"/>
      <c r="F19" s="34">
        <f>F14*F18</f>
        <v>7192.1043743560622</v>
      </c>
      <c r="G19" s="13"/>
      <c r="I19" s="36" t="s">
        <v>12</v>
      </c>
      <c r="J19" s="32"/>
      <c r="K19" s="33"/>
      <c r="L19" s="33"/>
      <c r="M19" s="34">
        <f>M14*M18</f>
        <v>0</v>
      </c>
      <c r="N19" s="13"/>
    </row>
    <row r="20" spans="2:14" x14ac:dyDescent="0.25">
      <c r="B20" s="7"/>
      <c r="C20" s="7"/>
      <c r="D20" s="7"/>
      <c r="E20" s="7"/>
      <c r="F20" s="7"/>
    </row>
    <row r="21" spans="2:14" x14ac:dyDescent="0.25">
      <c r="B21" s="7"/>
      <c r="C21" s="7"/>
      <c r="D21" s="7"/>
      <c r="E21" s="7"/>
      <c r="F21" s="7"/>
    </row>
    <row r="22" spans="2:14" x14ac:dyDescent="0.25">
      <c r="B22" s="7"/>
      <c r="C22" s="7"/>
      <c r="D22" s="7"/>
      <c r="E22" s="7"/>
      <c r="F22" s="7"/>
    </row>
    <row r="23" spans="2:14" x14ac:dyDescent="0.25">
      <c r="B23" s="7"/>
      <c r="C23" s="7"/>
      <c r="D23" s="7"/>
      <c r="E23" s="7"/>
      <c r="F23" s="7"/>
    </row>
  </sheetData>
  <mergeCells count="2">
    <mergeCell ref="B2:F2"/>
    <mergeCell ref="I2:M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Departure East - West</vt:lpstr>
      <vt:lpstr>Departure Calculation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2016-07-12T15:26:04Z</cp:lastPrinted>
  <dcterms:created xsi:type="dcterms:W3CDTF">2015-04-28T15:42:59Z</dcterms:created>
  <dcterms:modified xsi:type="dcterms:W3CDTF">2016-07-12T16:42:56Z</dcterms:modified>
</cp:coreProperties>
</file>